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10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1120" windowHeight="10035"/>
  </bookViews>
  <sheets>
    <sheet name="Romaniuk" sheetId="1" r:id="rId1"/>
    <sheet name="Hadwiger" sheetId="2" r:id="rId2"/>
    <sheet name="Gompertz" sheetId="5" r:id="rId3"/>
  </sheets>
  <calcPr calcId="125725"/>
</workbook>
</file>

<file path=xl/calcChain.xml><?xml version="1.0" encoding="utf-8"?>
<calcChain xmlns="http://schemas.openxmlformats.org/spreadsheetml/2006/main">
  <c r="B3" i="2"/>
  <c r="M51" i="5" l="1"/>
  <c r="L51"/>
  <c r="K51"/>
  <c r="J51"/>
  <c r="I52"/>
  <c r="I51"/>
  <c r="H51"/>
  <c r="R3" l="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L10" l="1"/>
  <c r="J10"/>
  <c r="L8"/>
  <c r="J8"/>
  <c r="L12"/>
  <c r="J12"/>
  <c r="L16"/>
  <c r="J16"/>
  <c r="L20"/>
  <c r="J20"/>
  <c r="L24"/>
  <c r="J24"/>
  <c r="L28"/>
  <c r="J28"/>
  <c r="L32"/>
  <c r="J32"/>
  <c r="L36"/>
  <c r="J36"/>
  <c r="L40"/>
  <c r="J40"/>
  <c r="L44"/>
  <c r="J44"/>
  <c r="L48"/>
  <c r="J48"/>
  <c r="D7"/>
  <c r="D23"/>
  <c r="D39"/>
  <c r="D9"/>
  <c r="L9"/>
  <c r="J9"/>
  <c r="L13"/>
  <c r="J13"/>
  <c r="L17"/>
  <c r="J17"/>
  <c r="D21"/>
  <c r="L21"/>
  <c r="J21"/>
  <c r="L25"/>
  <c r="J25"/>
  <c r="L29"/>
  <c r="J29"/>
  <c r="D33"/>
  <c r="L33"/>
  <c r="J33"/>
  <c r="L37"/>
  <c r="J37"/>
  <c r="L41"/>
  <c r="J41"/>
  <c r="L45"/>
  <c r="J45"/>
  <c r="L49"/>
  <c r="J49"/>
  <c r="D11"/>
  <c r="D27"/>
  <c r="D43"/>
  <c r="L14"/>
  <c r="J14"/>
  <c r="L18"/>
  <c r="J18"/>
  <c r="L22"/>
  <c r="J22"/>
  <c r="L26"/>
  <c r="J26"/>
  <c r="L30"/>
  <c r="J30"/>
  <c r="L34"/>
  <c r="J34"/>
  <c r="L38"/>
  <c r="J38"/>
  <c r="L42"/>
  <c r="J42"/>
  <c r="L46"/>
  <c r="J46"/>
  <c r="L50"/>
  <c r="J50"/>
  <c r="D15"/>
  <c r="D31"/>
  <c r="D47"/>
  <c r="J7"/>
  <c r="L7"/>
  <c r="J11"/>
  <c r="L11"/>
  <c r="J15"/>
  <c r="L15"/>
  <c r="J19"/>
  <c r="L19"/>
  <c r="L23"/>
  <c r="J23"/>
  <c r="L27"/>
  <c r="J27"/>
  <c r="L31"/>
  <c r="J31"/>
  <c r="L35"/>
  <c r="J35"/>
  <c r="L39"/>
  <c r="J39"/>
  <c r="L43"/>
  <c r="J43"/>
  <c r="L47"/>
  <c r="J47"/>
  <c r="D19"/>
  <c r="D35"/>
  <c r="H13"/>
  <c r="H17"/>
  <c r="H25"/>
  <c r="H29"/>
  <c r="H37"/>
  <c r="H41"/>
  <c r="H45"/>
  <c r="H49"/>
  <c r="H7"/>
  <c r="H11"/>
  <c r="H15"/>
  <c r="H19"/>
  <c r="H23"/>
  <c r="H27"/>
  <c r="H31"/>
  <c r="H35"/>
  <c r="H39"/>
  <c r="H43"/>
  <c r="H47"/>
  <c r="D13"/>
  <c r="D17"/>
  <c r="D25"/>
  <c r="D29"/>
  <c r="D37"/>
  <c r="D41"/>
  <c r="D45"/>
  <c r="D49"/>
  <c r="H8"/>
  <c r="H12"/>
  <c r="H16"/>
  <c r="H20"/>
  <c r="H24"/>
  <c r="H28"/>
  <c r="H32"/>
  <c r="H36"/>
  <c r="H40"/>
  <c r="H44"/>
  <c r="H48"/>
  <c r="D6"/>
  <c r="D10"/>
  <c r="D14"/>
  <c r="D18"/>
  <c r="D22"/>
  <c r="D26"/>
  <c r="D30"/>
  <c r="D34"/>
  <c r="D38"/>
  <c r="D42"/>
  <c r="D46"/>
  <c r="H9"/>
  <c r="H21"/>
  <c r="H33"/>
  <c r="H10"/>
  <c r="H14"/>
  <c r="H18"/>
  <c r="H22"/>
  <c r="H26"/>
  <c r="H30"/>
  <c r="H34"/>
  <c r="H38"/>
  <c r="H42"/>
  <c r="H46"/>
  <c r="H50"/>
  <c r="D8"/>
  <c r="D12"/>
  <c r="D16"/>
  <c r="P16" s="1"/>
  <c r="D20"/>
  <c r="D24"/>
  <c r="D28"/>
  <c r="D32"/>
  <c r="D36"/>
  <c r="D40"/>
  <c r="D44"/>
  <c r="D48"/>
  <c r="R2"/>
  <c r="R1"/>
  <c r="N48" l="1"/>
  <c r="P48"/>
  <c r="N32"/>
  <c r="P32"/>
  <c r="P34"/>
  <c r="P18"/>
  <c r="P45"/>
  <c r="P15"/>
  <c r="P9"/>
  <c r="P28"/>
  <c r="P30"/>
  <c r="P17"/>
  <c r="P43"/>
  <c r="P39"/>
  <c r="P40"/>
  <c r="P24"/>
  <c r="P8"/>
  <c r="P42"/>
  <c r="P26"/>
  <c r="P10"/>
  <c r="P37"/>
  <c r="P13"/>
  <c r="P35"/>
  <c r="P47"/>
  <c r="P27"/>
  <c r="P33"/>
  <c r="P23"/>
  <c r="P25"/>
  <c r="P44"/>
  <c r="P12"/>
  <c r="P46"/>
  <c r="P14"/>
  <c r="P41"/>
  <c r="P21"/>
  <c r="P36"/>
  <c r="P20"/>
  <c r="P38"/>
  <c r="P22"/>
  <c r="N33"/>
  <c r="P51"/>
  <c r="P50"/>
  <c r="P6"/>
  <c r="P49"/>
  <c r="P29"/>
  <c r="P19"/>
  <c r="P31"/>
  <c r="P11"/>
  <c r="P7"/>
  <c r="N18"/>
  <c r="N13"/>
  <c r="N23"/>
  <c r="N7"/>
  <c r="N44"/>
  <c r="N12"/>
  <c r="N30"/>
  <c r="N14"/>
  <c r="N49"/>
  <c r="N35"/>
  <c r="N19"/>
  <c r="N21"/>
  <c r="N40"/>
  <c r="N24"/>
  <c r="N8"/>
  <c r="N42"/>
  <c r="N26"/>
  <c r="N10"/>
  <c r="X19"/>
  <c r="N45"/>
  <c r="N25"/>
  <c r="N47"/>
  <c r="N31"/>
  <c r="N15"/>
  <c r="N16"/>
  <c r="N34"/>
  <c r="N37"/>
  <c r="N39"/>
  <c r="N28"/>
  <c r="N46"/>
  <c r="N29"/>
  <c r="N36"/>
  <c r="N20"/>
  <c r="N38"/>
  <c r="N22"/>
  <c r="N51"/>
  <c r="N50"/>
  <c r="N6"/>
  <c r="X20"/>
  <c r="X21"/>
  <c r="X22"/>
  <c r="N41"/>
  <c r="N17"/>
  <c r="N43"/>
  <c r="N27"/>
  <c r="N11"/>
  <c r="N9"/>
  <c r="AA18"/>
  <c r="E50"/>
  <c r="E47"/>
  <c r="E43"/>
  <c r="E39"/>
  <c r="E35"/>
  <c r="E31"/>
  <c r="E27"/>
  <c r="E23"/>
  <c r="E19"/>
  <c r="E15"/>
  <c r="E11"/>
  <c r="E7"/>
  <c r="E41"/>
  <c r="E37"/>
  <c r="E29"/>
  <c r="E21"/>
  <c r="E17"/>
  <c r="E9"/>
  <c r="E44"/>
  <c r="E40"/>
  <c r="E32"/>
  <c r="E24"/>
  <c r="E16"/>
  <c r="E12"/>
  <c r="E49"/>
  <c r="E46"/>
  <c r="E42"/>
  <c r="E38"/>
  <c r="E34"/>
  <c r="E30"/>
  <c r="E26"/>
  <c r="E22"/>
  <c r="E18"/>
  <c r="E14"/>
  <c r="E10"/>
  <c r="E45"/>
  <c r="E33"/>
  <c r="E25"/>
  <c r="E13"/>
  <c r="E48"/>
  <c r="E36"/>
  <c r="E28"/>
  <c r="E20"/>
  <c r="E8"/>
  <c r="M48" l="1"/>
  <c r="K48"/>
  <c r="M38"/>
  <c r="K38"/>
  <c r="M20"/>
  <c r="K20"/>
  <c r="M10"/>
  <c r="K10"/>
  <c r="M42"/>
  <c r="K42"/>
  <c r="M44"/>
  <c r="K44"/>
  <c r="M11"/>
  <c r="K11"/>
  <c r="M43"/>
  <c r="K43"/>
  <c r="M28"/>
  <c r="K28"/>
  <c r="M25"/>
  <c r="K25"/>
  <c r="M14"/>
  <c r="K14"/>
  <c r="M30"/>
  <c r="K30"/>
  <c r="M46"/>
  <c r="K46"/>
  <c r="M24"/>
  <c r="K24"/>
  <c r="M9"/>
  <c r="K9"/>
  <c r="M37"/>
  <c r="K37"/>
  <c r="M15"/>
  <c r="K15"/>
  <c r="M31"/>
  <c r="K31"/>
  <c r="M47"/>
  <c r="K47"/>
  <c r="M8"/>
  <c r="K8"/>
  <c r="M45"/>
  <c r="K45"/>
  <c r="M22"/>
  <c r="K22"/>
  <c r="M12"/>
  <c r="K12"/>
  <c r="M40"/>
  <c r="K40"/>
  <c r="M21"/>
  <c r="K21"/>
  <c r="K7"/>
  <c r="M23"/>
  <c r="K23"/>
  <c r="M39"/>
  <c r="K39"/>
  <c r="M13"/>
  <c r="K13"/>
  <c r="M26"/>
  <c r="K26"/>
  <c r="M16"/>
  <c r="K16"/>
  <c r="M29"/>
  <c r="K29"/>
  <c r="M27"/>
  <c r="K27"/>
  <c r="M36"/>
  <c r="K36"/>
  <c r="M33"/>
  <c r="K33"/>
  <c r="M18"/>
  <c r="K18"/>
  <c r="M34"/>
  <c r="K34"/>
  <c r="M49"/>
  <c r="K49"/>
  <c r="M32"/>
  <c r="K32"/>
  <c r="M17"/>
  <c r="K17"/>
  <c r="M41"/>
  <c r="K41"/>
  <c r="M19"/>
  <c r="K19"/>
  <c r="M35"/>
  <c r="K35"/>
  <c r="M50"/>
  <c r="K50"/>
  <c r="X23"/>
  <c r="F7"/>
  <c r="I8"/>
  <c r="I13"/>
  <c r="I26"/>
  <c r="I16"/>
  <c r="I11"/>
  <c r="I43"/>
  <c r="I28"/>
  <c r="F24"/>
  <c r="I25"/>
  <c r="I14"/>
  <c r="I30"/>
  <c r="I46"/>
  <c r="I24"/>
  <c r="I9"/>
  <c r="I37"/>
  <c r="I15"/>
  <c r="I31"/>
  <c r="I47"/>
  <c r="F47"/>
  <c r="I48"/>
  <c r="I45"/>
  <c r="F21"/>
  <c r="I22"/>
  <c r="I38"/>
  <c r="I12"/>
  <c r="F39"/>
  <c r="I40"/>
  <c r="I21"/>
  <c r="F6"/>
  <c r="M7"/>
  <c r="I7"/>
  <c r="I23"/>
  <c r="I39"/>
  <c r="I20"/>
  <c r="I10"/>
  <c r="I42"/>
  <c r="F43"/>
  <c r="I44"/>
  <c r="I29"/>
  <c r="I27"/>
  <c r="F35"/>
  <c r="I36"/>
  <c r="F32"/>
  <c r="I33"/>
  <c r="F17"/>
  <c r="I18"/>
  <c r="I34"/>
  <c r="I49"/>
  <c r="I32"/>
  <c r="I17"/>
  <c r="I41"/>
  <c r="I19"/>
  <c r="I35"/>
  <c r="I50"/>
  <c r="F37"/>
  <c r="F44"/>
  <c r="F20"/>
  <c r="F19"/>
  <c r="F41"/>
  <c r="F11"/>
  <c r="F27"/>
  <c r="F13"/>
  <c r="F29"/>
  <c r="F23"/>
  <c r="F36"/>
  <c r="F22"/>
  <c r="F38"/>
  <c r="F12"/>
  <c r="F9"/>
  <c r="F25"/>
  <c r="F15"/>
  <c r="F28"/>
  <c r="F10"/>
  <c r="F26"/>
  <c r="F42"/>
  <c r="F45"/>
  <c r="F8"/>
  <c r="F14"/>
  <c r="F30"/>
  <c r="F46"/>
  <c r="F33"/>
  <c r="F48"/>
  <c r="F31"/>
  <c r="F16"/>
  <c r="F40"/>
  <c r="F18"/>
  <c r="F34"/>
  <c r="F49"/>
  <c r="O49" l="1"/>
  <c r="O16"/>
  <c r="O45"/>
  <c r="O12"/>
  <c r="O11"/>
  <c r="O34"/>
  <c r="O30"/>
  <c r="O15"/>
  <c r="O29"/>
  <c r="O37"/>
  <c r="O17"/>
  <c r="O35"/>
  <c r="AA22"/>
  <c r="O39"/>
  <c r="O24"/>
  <c r="O18"/>
  <c r="O48"/>
  <c r="O14"/>
  <c r="O26"/>
  <c r="O25"/>
  <c r="O22"/>
  <c r="O13"/>
  <c r="O19"/>
  <c r="O50"/>
  <c r="O6"/>
  <c r="O51"/>
  <c r="AA20"/>
  <c r="AA21"/>
  <c r="O47"/>
  <c r="AA19"/>
  <c r="O46"/>
  <c r="O28"/>
  <c r="O23"/>
  <c r="O44"/>
  <c r="O31"/>
  <c r="O42"/>
  <c r="O38"/>
  <c r="O41"/>
  <c r="O32"/>
  <c r="O40"/>
  <c r="O33"/>
  <c r="O8"/>
  <c r="O10"/>
  <c r="O9"/>
  <c r="O36"/>
  <c r="O27"/>
  <c r="O20"/>
  <c r="O43"/>
  <c r="O21"/>
  <c r="O7"/>
  <c r="AA23" l="1"/>
  <c r="C8" i="2"/>
  <c r="C62" s="1"/>
  <c r="B62"/>
  <c r="B63"/>
  <c r="B64"/>
  <c r="B65"/>
  <c r="B66"/>
  <c r="B67"/>
  <c r="B68"/>
  <c r="B69"/>
  <c r="C69"/>
  <c r="B70"/>
  <c r="C70"/>
  <c r="B71"/>
  <c r="C71"/>
  <c r="H7"/>
  <c r="H6"/>
  <c r="H5"/>
  <c r="H4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N4" i="1"/>
  <c r="N5"/>
  <c r="N6" s="1"/>
  <c r="E13" i="2" l="1"/>
  <c r="E3"/>
  <c r="G1" i="1"/>
  <c r="G2"/>
  <c r="G4"/>
  <c r="G5" s="1"/>
  <c r="E71" i="2"/>
  <c r="E69"/>
  <c r="E65"/>
  <c r="E64"/>
  <c r="E70"/>
  <c r="E67"/>
  <c r="E62"/>
  <c r="E68"/>
  <c r="E66"/>
  <c r="E63"/>
  <c r="C68"/>
  <c r="C67"/>
  <c r="C66"/>
  <c r="C65"/>
  <c r="C64"/>
  <c r="C63"/>
  <c r="E11"/>
  <c r="E12"/>
  <c r="E61"/>
  <c r="E14"/>
  <c r="E46"/>
  <c r="E30"/>
  <c r="E38"/>
  <c r="E22"/>
  <c r="E54"/>
  <c r="E18"/>
  <c r="E34"/>
  <c r="E50"/>
  <c r="E26"/>
  <c r="E42"/>
  <c r="E58"/>
  <c r="E16"/>
  <c r="E24"/>
  <c r="E32"/>
  <c r="E40"/>
  <c r="E48"/>
  <c r="E56"/>
  <c r="E20"/>
  <c r="E28"/>
  <c r="E36"/>
  <c r="E44"/>
  <c r="E52"/>
  <c r="E60"/>
  <c r="E15"/>
  <c r="E19"/>
  <c r="E23"/>
  <c r="E27"/>
  <c r="E31"/>
  <c r="E35"/>
  <c r="E39"/>
  <c r="E43"/>
  <c r="E47"/>
  <c r="E51"/>
  <c r="E55"/>
  <c r="E59"/>
  <c r="E17"/>
  <c r="E21"/>
  <c r="E25"/>
  <c r="E29"/>
  <c r="E33"/>
  <c r="E37"/>
  <c r="E41"/>
  <c r="E45"/>
  <c r="E49"/>
  <c r="E53"/>
  <c r="E57"/>
  <c r="C32"/>
  <c r="K1" i="1"/>
  <c r="B9" l="1"/>
  <c r="C9" s="1"/>
  <c r="H8" i="2"/>
  <c r="F63" s="1"/>
  <c r="C47"/>
  <c r="C31"/>
  <c r="C52"/>
  <c r="C15"/>
  <c r="C20"/>
  <c r="C50"/>
  <c r="C42"/>
  <c r="C34"/>
  <c r="C26"/>
  <c r="C18"/>
  <c r="C57"/>
  <c r="C53"/>
  <c r="C49"/>
  <c r="C45"/>
  <c r="C37"/>
  <c r="C33"/>
  <c r="C25"/>
  <c r="C17"/>
  <c r="C58"/>
  <c r="C54"/>
  <c r="C46"/>
  <c r="C38"/>
  <c r="C30"/>
  <c r="C22"/>
  <c r="C14"/>
  <c r="C61"/>
  <c r="C41"/>
  <c r="C29"/>
  <c r="C21"/>
  <c r="C13"/>
  <c r="C44"/>
  <c r="C59"/>
  <c r="C43"/>
  <c r="C27"/>
  <c r="C24"/>
  <c r="C60"/>
  <c r="C36"/>
  <c r="C55"/>
  <c r="C39"/>
  <c r="C23"/>
  <c r="C48"/>
  <c r="C16"/>
  <c r="C11"/>
  <c r="C56"/>
  <c r="C28"/>
  <c r="C51"/>
  <c r="C35"/>
  <c r="C19"/>
  <c r="C40"/>
  <c r="C12"/>
  <c r="D9" i="1" l="1"/>
  <c r="E9" s="1"/>
  <c r="B10"/>
  <c r="C10" s="1"/>
  <c r="A9"/>
  <c r="H9" s="1"/>
  <c r="F54" i="2"/>
  <c r="F66"/>
  <c r="F65"/>
  <c r="F69"/>
  <c r="F71"/>
  <c r="F68"/>
  <c r="F70"/>
  <c r="F64"/>
  <c r="F67"/>
  <c r="F62"/>
  <c r="F36"/>
  <c r="F43"/>
  <c r="F20"/>
  <c r="F45"/>
  <c r="F27"/>
  <c r="F29"/>
  <c r="F11"/>
  <c r="F24"/>
  <c r="F14"/>
  <c r="F51"/>
  <c r="F56"/>
  <c r="F46"/>
  <c r="F13"/>
  <c r="F18"/>
  <c r="F23"/>
  <c r="F55"/>
  <c r="F48"/>
  <c r="F33"/>
  <c r="F34"/>
  <c r="F35"/>
  <c r="F16"/>
  <c r="F40"/>
  <c r="F17"/>
  <c r="F53"/>
  <c r="F42"/>
  <c r="F19"/>
  <c r="F39"/>
  <c r="F59"/>
  <c r="F32"/>
  <c r="F52"/>
  <c r="F21"/>
  <c r="F49"/>
  <c r="F26"/>
  <c r="F58"/>
  <c r="F37"/>
  <c r="F61"/>
  <c r="F30"/>
  <c r="F50"/>
  <c r="F15"/>
  <c r="F31"/>
  <c r="F47"/>
  <c r="F12"/>
  <c r="F28"/>
  <c r="F44"/>
  <c r="F60"/>
  <c r="F25"/>
  <c r="F41"/>
  <c r="F57"/>
  <c r="F22"/>
  <c r="F38"/>
  <c r="A10" i="1" l="1"/>
  <c r="H10" s="1"/>
  <c r="D10"/>
  <c r="E10" s="1"/>
  <c r="B11"/>
  <c r="A11" s="1"/>
  <c r="H11" s="1"/>
  <c r="D11" l="1"/>
  <c r="B12"/>
  <c r="C12" s="1"/>
  <c r="C11"/>
  <c r="E11" l="1"/>
  <c r="A12"/>
  <c r="H12" s="1"/>
  <c r="B13"/>
  <c r="C13" s="1"/>
  <c r="D12"/>
  <c r="E12" s="1"/>
  <c r="A13" l="1"/>
  <c r="H13" s="1"/>
  <c r="B14"/>
  <c r="B15" s="1"/>
  <c r="D13"/>
  <c r="E13" s="1"/>
  <c r="C14" l="1"/>
  <c r="D14"/>
  <c r="A14"/>
  <c r="H14" s="1"/>
  <c r="A15"/>
  <c r="H15" s="1"/>
  <c r="C15"/>
  <c r="B16"/>
  <c r="D15"/>
  <c r="E14" l="1"/>
  <c r="E15"/>
  <c r="A16"/>
  <c r="H16" s="1"/>
  <c r="B17"/>
  <c r="D16"/>
  <c r="C16"/>
  <c r="E16" l="1"/>
  <c r="A17"/>
  <c r="H17" s="1"/>
  <c r="B18"/>
  <c r="D17"/>
  <c r="C17"/>
  <c r="E17" l="1"/>
  <c r="A18"/>
  <c r="H18" s="1"/>
  <c r="C18"/>
  <c r="B19"/>
  <c r="D18"/>
  <c r="E18" l="1"/>
  <c r="A19"/>
  <c r="H19" s="1"/>
  <c r="C19"/>
  <c r="B20"/>
  <c r="D19"/>
  <c r="E19" l="1"/>
  <c r="A20"/>
  <c r="H20" s="1"/>
  <c r="B21"/>
  <c r="D20"/>
  <c r="C20"/>
  <c r="E20" l="1"/>
  <c r="A21"/>
  <c r="H21" s="1"/>
  <c r="B22"/>
  <c r="D21"/>
  <c r="C21"/>
  <c r="E21" l="1"/>
  <c r="A22"/>
  <c r="H22" s="1"/>
  <c r="C22"/>
  <c r="B23"/>
  <c r="D22"/>
  <c r="E22" l="1"/>
  <c r="A23"/>
  <c r="H23" s="1"/>
  <c r="C23"/>
  <c r="B24"/>
  <c r="D23"/>
  <c r="E23" l="1"/>
  <c r="A24"/>
  <c r="H24" s="1"/>
  <c r="B25"/>
  <c r="D24"/>
  <c r="C24"/>
  <c r="E24" l="1"/>
  <c r="A25"/>
  <c r="H25" s="1"/>
  <c r="B26"/>
  <c r="D25"/>
  <c r="C25"/>
  <c r="E25" l="1"/>
  <c r="A26"/>
  <c r="H26" s="1"/>
  <c r="C26"/>
  <c r="B27"/>
  <c r="D26"/>
  <c r="E26" l="1"/>
  <c r="A27"/>
  <c r="H27" s="1"/>
  <c r="C27"/>
  <c r="B28"/>
  <c r="D27"/>
  <c r="E27" l="1"/>
  <c r="A28"/>
  <c r="H28" s="1"/>
  <c r="B29"/>
  <c r="D28"/>
  <c r="C28"/>
  <c r="E28" l="1"/>
  <c r="A29"/>
  <c r="H29" s="1"/>
  <c r="B30"/>
  <c r="D29"/>
  <c r="C29"/>
  <c r="E29" l="1"/>
  <c r="A30"/>
  <c r="H30" s="1"/>
  <c r="D30"/>
  <c r="B31"/>
  <c r="C30"/>
  <c r="E30" l="1"/>
  <c r="A31"/>
  <c r="H31" s="1"/>
  <c r="B32"/>
  <c r="D31"/>
  <c r="C31"/>
  <c r="E31" l="1"/>
  <c r="A32"/>
  <c r="H32" s="1"/>
  <c r="B33"/>
  <c r="D32"/>
  <c r="C32"/>
  <c r="E32" l="1"/>
  <c r="A33"/>
  <c r="H33" s="1"/>
  <c r="B34"/>
  <c r="C33"/>
  <c r="D33"/>
  <c r="E33" l="1"/>
  <c r="A34"/>
  <c r="H34" s="1"/>
  <c r="C34"/>
  <c r="D34"/>
  <c r="B35"/>
  <c r="E34" l="1"/>
  <c r="A35"/>
  <c r="H35" s="1"/>
  <c r="C35"/>
  <c r="B36"/>
  <c r="D35"/>
  <c r="E35" l="1"/>
  <c r="A36"/>
  <c r="H36" s="1"/>
  <c r="B37"/>
  <c r="C36"/>
  <c r="D36"/>
  <c r="E36" l="1"/>
  <c r="A37"/>
  <c r="H37" s="1"/>
  <c r="B38"/>
  <c r="D37"/>
  <c r="C37"/>
  <c r="E37" l="1"/>
  <c r="A38"/>
  <c r="H38" s="1"/>
  <c r="D38"/>
  <c r="C38"/>
  <c r="B39"/>
  <c r="E38" l="1"/>
  <c r="A39"/>
  <c r="H39" s="1"/>
  <c r="C39"/>
  <c r="B40"/>
  <c r="D39"/>
  <c r="E39" l="1"/>
  <c r="A40"/>
  <c r="H40" s="1"/>
  <c r="D40"/>
  <c r="C40"/>
  <c r="B41"/>
  <c r="E40" l="1"/>
  <c r="A41"/>
  <c r="H41" s="1"/>
  <c r="B42"/>
  <c r="D41"/>
  <c r="C41"/>
  <c r="E41" l="1"/>
  <c r="A42"/>
  <c r="H42" s="1"/>
  <c r="D42"/>
  <c r="B43"/>
  <c r="C42"/>
  <c r="E42" l="1"/>
  <c r="F34" s="1"/>
  <c r="A43"/>
  <c r="C43"/>
  <c r="D43"/>
  <c r="F40" l="1"/>
  <c r="F35"/>
  <c r="F38"/>
  <c r="F41"/>
  <c r="F37"/>
  <c r="F39"/>
  <c r="F9"/>
  <c r="F10"/>
  <c r="F11"/>
  <c r="F13"/>
  <c r="F14"/>
  <c r="F12"/>
  <c r="F16"/>
  <c r="F17"/>
  <c r="F15"/>
  <c r="F18"/>
  <c r="F19"/>
  <c r="F20"/>
  <c r="F22"/>
  <c r="F21"/>
  <c r="F25"/>
  <c r="F23"/>
  <c r="F24"/>
  <c r="F26"/>
  <c r="F30"/>
  <c r="F27"/>
  <c r="F28"/>
  <c r="F29"/>
  <c r="F31"/>
  <c r="F33"/>
  <c r="F32"/>
  <c r="F36"/>
  <c r="E43"/>
  <c r="F43" s="1"/>
  <c r="F42"/>
</calcChain>
</file>

<file path=xl/sharedStrings.xml><?xml version="1.0" encoding="utf-8"?>
<sst xmlns="http://schemas.openxmlformats.org/spreadsheetml/2006/main" count="55" uniqueCount="39">
  <si>
    <t>x</t>
  </si>
  <si>
    <t>f(x)</t>
  </si>
  <si>
    <t>T</t>
  </si>
  <si>
    <t>alpha</t>
  </si>
  <si>
    <t>delta</t>
  </si>
  <si>
    <t>A</t>
  </si>
  <si>
    <t>m1</t>
  </si>
  <si>
    <t>m2</t>
  </si>
  <si>
    <t>p(x)</t>
  </si>
  <si>
    <t>a1</t>
  </si>
  <si>
    <t>a2</t>
  </si>
  <si>
    <t>A-alpha</t>
  </si>
  <si>
    <t>Mode</t>
  </si>
  <si>
    <t>A = 27.2</t>
  </si>
  <si>
    <t>A = 28.2</t>
  </si>
  <si>
    <t>A = 29.2</t>
  </si>
  <si>
    <t>R</t>
  </si>
  <si>
    <t>H</t>
  </si>
  <si>
    <t>d</t>
  </si>
  <si>
    <t>TFR</t>
  </si>
  <si>
    <t>scaled to TFR of 3</t>
  </si>
  <si>
    <t>f*(x)</t>
  </si>
  <si>
    <t>Interactive graph</t>
  </si>
  <si>
    <t>beta</t>
  </si>
  <si>
    <t>Standard</t>
  </si>
  <si>
    <t>F(x)</t>
  </si>
  <si>
    <t>F*(x)</t>
  </si>
  <si>
    <t>Measures of location and dispersion</t>
  </si>
  <si>
    <t>Mean</t>
  </si>
  <si>
    <t>IQR</t>
  </si>
  <si>
    <t>Age</t>
  </si>
  <si>
    <t>Median</t>
  </si>
  <si>
    <t>Interpolation</t>
  </si>
  <si>
    <t>ASFR&lt;0.2max</t>
  </si>
  <si>
    <t>Range &gt;0.2 max</t>
  </si>
  <si>
    <t>SD</t>
  </si>
  <si>
    <r>
      <t xml:space="preserve">Standard: </t>
    </r>
    <r>
      <rPr>
        <b/>
        <sz val="11"/>
        <color theme="1"/>
        <rFont val="Symbol"/>
        <family val="1"/>
        <charset val="2"/>
      </rPr>
      <t>a</t>
    </r>
    <r>
      <rPr>
        <b/>
        <sz val="11"/>
        <color theme="1"/>
        <rFont val="Calibri"/>
        <family val="2"/>
      </rPr>
      <t xml:space="preserve">=0; </t>
    </r>
    <r>
      <rPr>
        <b/>
        <sz val="11"/>
        <color theme="1"/>
        <rFont val="Symbol"/>
        <family val="1"/>
        <charset val="2"/>
      </rPr>
      <t>b</t>
    </r>
    <r>
      <rPr>
        <b/>
        <sz val="11"/>
        <color theme="1"/>
        <rFont val="Calibri"/>
        <family val="2"/>
      </rPr>
      <t>=1; TFR=3</t>
    </r>
  </si>
  <si>
    <t>Mode (M)</t>
  </si>
  <si>
    <t>Average age (A)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</si>
</sst>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0" borderId="0" xfId="0" quotePrefix="1"/>
    <xf numFmtId="165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1"/>
          <c:order val="0"/>
          <c:tx>
            <c:v>Base A = 27,2; M = 26</c:v>
          </c:tx>
          <c:marker>
            <c:symbol val="none"/>
          </c:marker>
          <c:xVal>
            <c:numRef>
              <c:f>Romaniuk!$H$9:$H$42</c:f>
              <c:numCache>
                <c:formatCode>General</c:formatCode>
                <c:ptCount val="3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</c:numCache>
            </c:numRef>
          </c:xVal>
          <c:yVal>
            <c:numRef>
              <c:f>Romaniuk!$I$9:$I$42</c:f>
              <c:numCache>
                <c:formatCode>General</c:formatCode>
                <c:ptCount val="34"/>
                <c:pt idx="0">
                  <c:v>0</c:v>
                </c:pt>
                <c:pt idx="1">
                  <c:v>4.3916299914778835E-3</c:v>
                </c:pt>
                <c:pt idx="2">
                  <c:v>1.9764034120161349E-2</c:v>
                </c:pt>
                <c:pt idx="3">
                  <c:v>4.4514386636781339E-2</c:v>
                </c:pt>
                <c:pt idx="4">
                  <c:v>7.5269789942047541E-2</c:v>
                </c:pt>
                <c:pt idx="5">
                  <c:v>0.10847128468711689</c:v>
                </c:pt>
                <c:pt idx="6">
                  <c:v>0.14093163290446736</c:v>
                </c:pt>
                <c:pt idx="7">
                  <c:v>0.17006978378308266</c:v>
                </c:pt>
                <c:pt idx="8">
                  <c:v>0.19399117223584028</c:v>
                </c:pt>
                <c:pt idx="9">
                  <c:v>0.2114830431424275</c:v>
                </c:pt>
                <c:pt idx="10">
                  <c:v>0.22196040412930854</c:v>
                </c:pt>
                <c:pt idx="11">
                  <c:v>0.22538358938555722</c:v>
                </c:pt>
                <c:pt idx="12">
                  <c:v>0.22216092509873811</c:v>
                </c:pt>
                <c:pt idx="13">
                  <c:v>0.21304567513087386</c:v>
                </c:pt>
                <c:pt idx="14">
                  <c:v>0.19903373423715043</c:v>
                </c:pt>
                <c:pt idx="15">
                  <c:v>0.18126670680338847</c:v>
                </c:pt>
                <c:pt idx="16">
                  <c:v>0.16094370115224915</c:v>
                </c:pt>
                <c:pt idx="17">
                  <c:v>0.13924418744886902</c:v>
                </c:pt>
                <c:pt idx="18">
                  <c:v>0.11726349817451859</c:v>
                </c:pt>
                <c:pt idx="19">
                  <c:v>9.596192513837154E-2</c:v>
                </c:pt>
                <c:pt idx="20">
                  <c:v>7.6127841962869036E-2</c:v>
                </c:pt>
                <c:pt idx="21">
                  <c:v>5.8354826358542417E-2</c:v>
                </c:pt>
                <c:pt idx="22">
                  <c:v>4.3032351544892537E-2</c:v>
                </c:pt>
                <c:pt idx="23">
                  <c:v>3.0349245491596014E-2</c:v>
                </c:pt>
                <c:pt idx="24">
                  <c:v>2.030876805298383E-2</c:v>
                </c:pt>
                <c:pt idx="25">
                  <c:v>1.2753818989733708E-2</c:v>
                </c:pt>
                <c:pt idx="26">
                  <c:v>7.4004540831123736E-3</c:v>
                </c:pt>
                <c:pt idx="27">
                  <c:v>3.8775407237155593E-3</c:v>
                </c:pt>
                <c:pt idx="28">
                  <c:v>1.7700140726402964E-3</c:v>
                </c:pt>
                <c:pt idx="29">
                  <c:v>6.6277909157354221E-4</c:v>
                </c:pt>
                <c:pt idx="30">
                  <c:v>1.8180737850203974E-4</c:v>
                </c:pt>
                <c:pt idx="31">
                  <c:v>2.8333839346943573E-5</c:v>
                </c:pt>
                <c:pt idx="32">
                  <c:v>1.1142680629788775E-6</c:v>
                </c:pt>
                <c:pt idx="33">
                  <c:v>0</c:v>
                </c:pt>
              </c:numCache>
            </c:numRef>
          </c:yVal>
        </c:ser>
        <c:ser>
          <c:idx val="0"/>
          <c:order val="1"/>
          <c:tx>
            <c:strRef>
              <c:f>Romaniuk!$K$1</c:f>
              <c:strCache>
                <c:ptCount val="1"/>
                <c:pt idx="0">
                  <c:v>A = 27.6; M = 23.8</c:v>
                </c:pt>
              </c:strCache>
            </c:strRef>
          </c:tx>
          <c:marker>
            <c:symbol val="none"/>
          </c:marker>
          <c:xVal>
            <c:numRef>
              <c:f>Romaniuk!$A$9:$A$42</c:f>
              <c:numCache>
                <c:formatCode>General</c:formatCode>
                <c:ptCount val="3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</c:numCache>
            </c:numRef>
          </c:xVal>
          <c:yVal>
            <c:numRef>
              <c:f>Romaniuk!$F$9:$F$42</c:f>
              <c:numCache>
                <c:formatCode>General</c:formatCode>
                <c:ptCount val="34"/>
                <c:pt idx="0">
                  <c:v>0</c:v>
                </c:pt>
                <c:pt idx="1">
                  <c:v>6.9559980377820962E-2</c:v>
                </c:pt>
                <c:pt idx="2">
                  <c:v>9.6912270293139258E-2</c:v>
                </c:pt>
                <c:pt idx="3">
                  <c:v>0.11516750376096702</c:v>
                </c:pt>
                <c:pt idx="4">
                  <c:v>0.12810176000200535</c:v>
                </c:pt>
                <c:pt idx="5">
                  <c:v>0.13729680064430486</c:v>
                </c:pt>
                <c:pt idx="6">
                  <c:v>0.1436240610050368</c:v>
                </c:pt>
                <c:pt idx="7">
                  <c:v>0.14763858400684646</c:v>
                </c:pt>
                <c:pt idx="8">
                  <c:v>0.14972805174412643</c:v>
                </c:pt>
                <c:pt idx="9">
                  <c:v>0.15018134493856936</c:v>
                </c:pt>
                <c:pt idx="10">
                  <c:v>0.14922438752000861</c:v>
                </c:pt>
                <c:pt idx="11">
                  <c:v>0.14704068420242183</c:v>
                </c:pt>
                <c:pt idx="12">
                  <c:v>0.14378393568764969</c:v>
                </c:pt>
                <c:pt idx="13">
                  <c:v>0.13958622910590474</c:v>
                </c:pt>
                <c:pt idx="14">
                  <c:v>0.13456360642873333</c:v>
                </c:pt>
                <c:pt idx="15">
                  <c:v>0.12882000506120325</c:v>
                </c:pt>
                <c:pt idx="16">
                  <c:v>0.12245015072437228</c:v>
                </c:pt>
                <c:pt idx="17">
                  <c:v>0.11554175827668989</c:v>
                </c:pt>
                <c:pt idx="18">
                  <c:v>0.10817726895449958</c:v>
                </c:pt>
                <c:pt idx="19">
                  <c:v>0.10043527826420447</c:v>
                </c:pt>
                <c:pt idx="20">
                  <c:v>9.2391765068700227E-2</c:v>
                </c:pt>
                <c:pt idx="21">
                  <c:v>8.4121207754300042E-2</c:v>
                </c:pt>
                <c:pt idx="22">
                  <c:v>7.5697662057493578E-2</c:v>
                </c:pt>
                <c:pt idx="23">
                  <c:v>6.7195875187911841E-2</c:v>
                </c:pt>
                <c:pt idx="24">
                  <c:v>5.8692523511276545E-2</c:v>
                </c:pt>
                <c:pt idx="25">
                  <c:v>5.0267691640684876E-2</c:v>
                </c:pt>
                <c:pt idx="26">
                  <c:v>4.2006772341839374E-2</c:v>
                </c:pt>
                <c:pt idx="27">
                  <c:v>3.4003089092419836E-2</c:v>
                </c:pt>
                <c:pt idx="28">
                  <c:v>2.6361798977162287E-2</c:v>
                </c:pt>
                <c:pt idx="29">
                  <c:v>1.9206217742932824E-2</c:v>
                </c:pt>
                <c:pt idx="30">
                  <c:v>1.2689228466678044E-2</c:v>
                </c:pt>
                <c:pt idx="31">
                  <c:v>7.0172394913349811E-3</c:v>
                </c:pt>
                <c:pt idx="32">
                  <c:v>2.5152676687613083E-3</c:v>
                </c:pt>
                <c:pt idx="33">
                  <c:v>0</c:v>
                </c:pt>
              </c:numCache>
            </c:numRef>
          </c:yVal>
        </c:ser>
        <c:dLbls/>
        <c:axId val="84859904"/>
        <c:axId val="84865792"/>
      </c:scatterChart>
      <c:valAx>
        <c:axId val="84859904"/>
        <c:scaling>
          <c:orientation val="minMax"/>
          <c:max val="50"/>
          <c:min val="15"/>
        </c:scaling>
        <c:axPos val="b"/>
        <c:numFmt formatCode="General" sourceLinked="1"/>
        <c:tickLblPos val="nextTo"/>
        <c:crossAx val="84865792"/>
        <c:crosses val="autoZero"/>
        <c:crossBetween val="midCat"/>
      </c:valAx>
      <c:valAx>
        <c:axId val="84865792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84859904"/>
        <c:crosses val="autoZero"/>
        <c:crossBetween val="midCat"/>
        <c:majorUnit val="5.0000000000000017E-2"/>
      </c:valAx>
    </c:plotArea>
    <c:legend>
      <c:legendPos val="b"/>
      <c:layout/>
    </c:legend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tx>
            <c:strRef>
              <c:f>Romaniuk!$I$8</c:f>
              <c:strCache>
                <c:ptCount val="1"/>
                <c:pt idx="0">
                  <c:v>A = 27.2</c:v>
                </c:pt>
              </c:strCache>
            </c:strRef>
          </c:tx>
          <c:marker>
            <c:symbol val="none"/>
          </c:marker>
          <c:xVal>
            <c:numRef>
              <c:f>Romaniuk!$H$9:$H$42</c:f>
              <c:numCache>
                <c:formatCode>General</c:formatCode>
                <c:ptCount val="3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</c:numCache>
            </c:numRef>
          </c:xVal>
          <c:yVal>
            <c:numRef>
              <c:f>Romaniuk!$I$9:$I$42</c:f>
              <c:numCache>
                <c:formatCode>General</c:formatCode>
                <c:ptCount val="34"/>
                <c:pt idx="0">
                  <c:v>0</c:v>
                </c:pt>
                <c:pt idx="1">
                  <c:v>4.3916299914778835E-3</c:v>
                </c:pt>
                <c:pt idx="2">
                  <c:v>1.9764034120161349E-2</c:v>
                </c:pt>
                <c:pt idx="3">
                  <c:v>4.4514386636781339E-2</c:v>
                </c:pt>
                <c:pt idx="4">
                  <c:v>7.5269789942047541E-2</c:v>
                </c:pt>
                <c:pt idx="5">
                  <c:v>0.10847128468711689</c:v>
                </c:pt>
                <c:pt idx="6">
                  <c:v>0.14093163290446736</c:v>
                </c:pt>
                <c:pt idx="7">
                  <c:v>0.17006978378308266</c:v>
                </c:pt>
                <c:pt idx="8">
                  <c:v>0.19399117223584028</c:v>
                </c:pt>
                <c:pt idx="9">
                  <c:v>0.2114830431424275</c:v>
                </c:pt>
                <c:pt idx="10">
                  <c:v>0.22196040412930854</c:v>
                </c:pt>
                <c:pt idx="11">
                  <c:v>0.22538358938555722</c:v>
                </c:pt>
                <c:pt idx="12">
                  <c:v>0.22216092509873811</c:v>
                </c:pt>
                <c:pt idx="13">
                  <c:v>0.21304567513087386</c:v>
                </c:pt>
                <c:pt idx="14">
                  <c:v>0.19903373423715043</c:v>
                </c:pt>
                <c:pt idx="15">
                  <c:v>0.18126670680338847</c:v>
                </c:pt>
                <c:pt idx="16">
                  <c:v>0.16094370115224915</c:v>
                </c:pt>
                <c:pt idx="17">
                  <c:v>0.13924418744886902</c:v>
                </c:pt>
                <c:pt idx="18">
                  <c:v>0.11726349817451859</c:v>
                </c:pt>
                <c:pt idx="19">
                  <c:v>9.596192513837154E-2</c:v>
                </c:pt>
                <c:pt idx="20">
                  <c:v>7.6127841962869036E-2</c:v>
                </c:pt>
                <c:pt idx="21">
                  <c:v>5.8354826358542417E-2</c:v>
                </c:pt>
                <c:pt idx="22">
                  <c:v>4.3032351544892537E-2</c:v>
                </c:pt>
                <c:pt idx="23">
                  <c:v>3.0349245491596014E-2</c:v>
                </c:pt>
                <c:pt idx="24">
                  <c:v>2.030876805298383E-2</c:v>
                </c:pt>
                <c:pt idx="25">
                  <c:v>1.2753818989733708E-2</c:v>
                </c:pt>
                <c:pt idx="26">
                  <c:v>7.4004540831123736E-3</c:v>
                </c:pt>
                <c:pt idx="27">
                  <c:v>3.8775407237155593E-3</c:v>
                </c:pt>
                <c:pt idx="28">
                  <c:v>1.7700140726402964E-3</c:v>
                </c:pt>
                <c:pt idx="29">
                  <c:v>6.6277909157354221E-4</c:v>
                </c:pt>
                <c:pt idx="30">
                  <c:v>1.8180737850203974E-4</c:v>
                </c:pt>
                <c:pt idx="31">
                  <c:v>2.8333839346943573E-5</c:v>
                </c:pt>
                <c:pt idx="32">
                  <c:v>1.1142680629788775E-6</c:v>
                </c:pt>
                <c:pt idx="33">
                  <c:v>0</c:v>
                </c:pt>
              </c:numCache>
            </c:numRef>
          </c:yVal>
        </c:ser>
        <c:ser>
          <c:idx val="1"/>
          <c:order val="1"/>
          <c:tx>
            <c:strRef>
              <c:f>Romaniuk!$J$8</c:f>
              <c:strCache>
                <c:ptCount val="1"/>
                <c:pt idx="0">
                  <c:v>A = 28.2</c:v>
                </c:pt>
              </c:strCache>
            </c:strRef>
          </c:tx>
          <c:marker>
            <c:symbol val="none"/>
          </c:marker>
          <c:xVal>
            <c:numRef>
              <c:f>Romaniuk!$H$9:$H$42</c:f>
              <c:numCache>
                <c:formatCode>General</c:formatCode>
                <c:ptCount val="3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</c:numCache>
            </c:numRef>
          </c:xVal>
          <c:yVal>
            <c:numRef>
              <c:f>Romaniuk!$J$9:$J$42</c:f>
              <c:numCache>
                <c:formatCode>General</c:formatCode>
                <c:ptCount val="34"/>
                <c:pt idx="0">
                  <c:v>0</c:v>
                </c:pt>
                <c:pt idx="1">
                  <c:v>3.1113271754982956E-2</c:v>
                </c:pt>
                <c:pt idx="2">
                  <c:v>5.8398152649489513E-2</c:v>
                </c:pt>
                <c:pt idx="3">
                  <c:v>8.2036947010209027E-2</c:v>
                </c:pt>
                <c:pt idx="4">
                  <c:v>0.1022119591638308</c:v>
                </c:pt>
                <c:pt idx="5">
                  <c:v>0.11910549343704424</c:v>
                </c:pt>
                <c:pt idx="6">
                  <c:v>0.13289985415653865</c:v>
                </c:pt>
                <c:pt idx="7">
                  <c:v>0.14377734564900341</c:v>
                </c:pt>
                <c:pt idx="8">
                  <c:v>0.15192027224112786</c:v>
                </c:pt>
                <c:pt idx="9">
                  <c:v>0.15751093825960136</c:v>
                </c:pt>
                <c:pt idx="10">
                  <c:v>0.16073164803111328</c:v>
                </c:pt>
                <c:pt idx="11">
                  <c:v>0.16176470588235298</c:v>
                </c:pt>
                <c:pt idx="12">
                  <c:v>0.16079241614000972</c:v>
                </c:pt>
                <c:pt idx="13">
                  <c:v>0.15799708313077299</c:v>
                </c:pt>
                <c:pt idx="14">
                  <c:v>0.15356101118133203</c:v>
                </c:pt>
                <c:pt idx="15">
                  <c:v>0.14766650461837627</c:v>
                </c:pt>
                <c:pt idx="16">
                  <c:v>0.14049586776859502</c:v>
                </c:pt>
                <c:pt idx="17">
                  <c:v>0.13223140495867769</c:v>
                </c:pt>
                <c:pt idx="18">
                  <c:v>0.12305542051531354</c:v>
                </c:pt>
                <c:pt idx="19">
                  <c:v>0.11315021876519203</c:v>
                </c:pt>
                <c:pt idx="20">
                  <c:v>0.1026981040350024</c:v>
                </c:pt>
                <c:pt idx="21">
                  <c:v>9.1881380651434072E-2</c:v>
                </c:pt>
                <c:pt idx="22">
                  <c:v>8.0882352941176447E-2</c:v>
                </c:pt>
                <c:pt idx="23">
                  <c:v>6.988332523091878E-2</c:v>
                </c:pt>
                <c:pt idx="24">
                  <c:v>5.9066601847350478E-2</c:v>
                </c:pt>
                <c:pt idx="25">
                  <c:v>4.8614487117160876E-2</c:v>
                </c:pt>
                <c:pt idx="26">
                  <c:v>3.870928536703936E-2</c:v>
                </c:pt>
                <c:pt idx="27">
                  <c:v>2.9533300923675225E-2</c:v>
                </c:pt>
                <c:pt idx="28">
                  <c:v>2.1268838113757887E-2</c:v>
                </c:pt>
                <c:pt idx="29">
                  <c:v>1.409820126397664E-2</c:v>
                </c:pt>
                <c:pt idx="30">
                  <c:v>8.2036947010208881E-3</c:v>
                </c:pt>
                <c:pt idx="31">
                  <c:v>3.767622751579964E-3</c:v>
                </c:pt>
                <c:pt idx="32">
                  <c:v>9.7228974234321282E-4</c:v>
                </c:pt>
                <c:pt idx="33">
                  <c:v>0</c:v>
                </c:pt>
              </c:numCache>
            </c:numRef>
          </c:yVal>
        </c:ser>
        <c:ser>
          <c:idx val="2"/>
          <c:order val="2"/>
          <c:tx>
            <c:strRef>
              <c:f>Romaniuk!$K$8</c:f>
              <c:strCache>
                <c:ptCount val="1"/>
                <c:pt idx="0">
                  <c:v>A = 29.2</c:v>
                </c:pt>
              </c:strCache>
            </c:strRef>
          </c:tx>
          <c:marker>
            <c:symbol val="none"/>
          </c:marker>
          <c:xVal>
            <c:numRef>
              <c:f>Romaniuk!$H$9:$H$42</c:f>
              <c:numCache>
                <c:formatCode>General</c:formatCode>
                <c:ptCount val="3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</c:numCache>
            </c:numRef>
          </c:xVal>
          <c:yVal>
            <c:numRef>
              <c:f>Romaniuk!$K$9:$K$42</c:f>
              <c:numCache>
                <c:formatCode>General</c:formatCode>
                <c:ptCount val="34"/>
                <c:pt idx="0">
                  <c:v>0</c:v>
                </c:pt>
                <c:pt idx="1">
                  <c:v>5.9188237643365074E-2</c:v>
                </c:pt>
                <c:pt idx="2">
                  <c:v>8.0032277481862396E-2</c:v>
                </c:pt>
                <c:pt idx="3">
                  <c:v>9.4187907788995648E-2</c:v>
                </c:pt>
                <c:pt idx="4">
                  <c:v>0.10465303800471551</c:v>
                </c:pt>
                <c:pt idx="5">
                  <c:v>0.11261154581851807</c:v>
                </c:pt>
                <c:pt idx="6">
                  <c:v>0.11868279380110974</c:v>
                </c:pt>
                <c:pt idx="7">
                  <c:v>0.12324205999109172</c:v>
                </c:pt>
                <c:pt idx="8">
                  <c:v>0.12653863346107938</c:v>
                </c:pt>
                <c:pt idx="9">
                  <c:v>0.12874893799141257</c:v>
                </c:pt>
                <c:pt idx="10">
                  <c:v>0.13000374280308974</c:v>
                </c:pt>
                <c:pt idx="11">
                  <c:v>0.13040344869538364</c:v>
                </c:pt>
                <c:pt idx="12">
                  <c:v>0.13002729188743403</c:v>
                </c:pt>
                <c:pt idx="13">
                  <c:v>0.12893919321198194</c:v>
                </c:pt>
                <c:pt idx="14">
                  <c:v>0.12719163917433407</c:v>
                </c:pt>
                <c:pt idx="15">
                  <c:v>0.12482834865874415</c:v>
                </c:pt>
                <c:pt idx="16">
                  <c:v>0.12188615796201216</c:v>
                </c:pt>
                <c:pt idx="17">
                  <c:v>0.11839638379155754</c:v>
                </c:pt>
                <c:pt idx="18">
                  <c:v>0.11438582572040468</c:v>
                </c:pt>
                <c:pt idx="19">
                  <c:v>0.10987751132095916</c:v>
                </c:pt>
                <c:pt idx="20">
                  <c:v>0.10489125101449098</c:v>
                </c:pt>
                <c:pt idx="21">
                  <c:v>9.9444046007126169E-2</c:v>
                </c:pt>
                <c:pt idx="22">
                  <c:v>9.3550376020763243E-2</c:v>
                </c:pt>
                <c:pt idx="23">
                  <c:v>8.7222380296496121E-2</c:v>
                </c:pt>
                <c:pt idx="24">
                  <c:v>8.0469932647170145E-2</c:v>
                </c:pt>
                <c:pt idx="25">
                  <c:v>7.3300595795252027E-2</c:v>
                </c:pt>
                <c:pt idx="26">
                  <c:v>6.5719416254766488E-2</c:v>
                </c:pt>
                <c:pt idx="27">
                  <c:v>5.7728476760559443E-2</c:v>
                </c:pt>
                <c:pt idx="28">
                  <c:v>4.9326029364728435E-2</c:v>
                </c:pt>
                <c:pt idx="29">
                  <c:v>4.0504804962211663E-2</c:v>
                </c:pt>
                <c:pt idx="30">
                  <c:v>3.1248450226347594E-2</c:v>
                </c:pt>
                <c:pt idx="31">
                  <c:v>2.1522757069392238E-2</c:v>
                </c:pt>
                <c:pt idx="32">
                  <c:v>1.1246508372644131E-2</c:v>
                </c:pt>
                <c:pt idx="33">
                  <c:v>0</c:v>
                </c:pt>
              </c:numCache>
            </c:numRef>
          </c:yVal>
        </c:ser>
        <c:dLbls/>
        <c:axId val="84896384"/>
        <c:axId val="84930944"/>
      </c:scatterChart>
      <c:valAx>
        <c:axId val="84896384"/>
        <c:scaling>
          <c:orientation val="minMax"/>
          <c:max val="50"/>
          <c:min val="15"/>
        </c:scaling>
        <c:axPos val="b"/>
        <c:numFmt formatCode="General" sourceLinked="1"/>
        <c:tickLblPos val="nextTo"/>
        <c:crossAx val="84930944"/>
        <c:crosses val="autoZero"/>
        <c:crossBetween val="midCat"/>
      </c:valAx>
      <c:valAx>
        <c:axId val="84930944"/>
        <c:scaling>
          <c:orientation val="minMax"/>
        </c:scaling>
        <c:axPos val="l"/>
        <c:majorGridlines/>
        <c:numFmt formatCode="General" sourceLinked="1"/>
        <c:tickLblPos val="nextTo"/>
        <c:crossAx val="84896384"/>
        <c:crosses val="autoZero"/>
        <c:crossBetween val="midCat"/>
      </c:valAx>
    </c:plotArea>
    <c:legend>
      <c:legendPos val="b"/>
      <c:layout/>
    </c:legend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Hadwiger!$B$3</c:f>
              <c:strCache>
                <c:ptCount val="1"/>
                <c:pt idx="0">
                  <c:v>R=3; H=3; T=26; d=2</c:v>
                </c:pt>
              </c:strCache>
            </c:strRef>
          </c:tx>
          <c:marker>
            <c:symbol val="none"/>
          </c:marker>
          <c:xVal>
            <c:numRef>
              <c:f>Hadwiger!$A$11:$A$61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Hadwiger!$B$11:$B$61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2.8524198543208955E-93</c:v>
                </c:pt>
                <c:pt idx="4">
                  <c:v>4.6322302103208975E-43</c:v>
                </c:pt>
                <c:pt idx="5">
                  <c:v>1.5445619610646867E-26</c:v>
                </c:pt>
                <c:pt idx="6">
                  <c:v>2.0883674806607472E-18</c:v>
                </c:pt>
                <c:pt idx="7">
                  <c:v>1.2745434205208839E-13</c:v>
                </c:pt>
                <c:pt idx="8">
                  <c:v>1.6739674921233288E-10</c:v>
                </c:pt>
                <c:pt idx="9">
                  <c:v>2.4696466213944887E-8</c:v>
                </c:pt>
                <c:pt idx="10">
                  <c:v>9.3335036787021696E-7</c:v>
                </c:pt>
                <c:pt idx="11">
                  <c:v>1.4270535827280892E-5</c:v>
                </c:pt>
                <c:pt idx="12">
                  <c:v>1.1604782148767053E-4</c:v>
                </c:pt>
                <c:pt idx="13">
                  <c:v>5.9714261548272094E-4</c:v>
                </c:pt>
                <c:pt idx="14">
                  <c:v>2.1824695437406474E-3</c:v>
                </c:pt>
                <c:pt idx="15">
                  <c:v>6.1364054934526244E-3</c:v>
                </c:pt>
                <c:pt idx="16">
                  <c:v>1.4050214007888695E-2</c:v>
                </c:pt>
                <c:pt idx="17">
                  <c:v>2.7310744288418908E-2</c:v>
                </c:pt>
                <c:pt idx="18">
                  <c:v>4.64937809474439E-2</c:v>
                </c:pt>
                <c:pt idx="19">
                  <c:v>7.0988784469965885E-2</c:v>
                </c:pt>
                <c:pt idx="20">
                  <c:v>9.902143232056293E-2</c:v>
                </c:pt>
                <c:pt idx="21">
                  <c:v>0.12803352747857971</c:v>
                </c:pt>
                <c:pt idx="22">
                  <c:v>0.15524241283579568</c:v>
                </c:pt>
                <c:pt idx="23">
                  <c:v>0.17817952576366625</c:v>
                </c:pt>
                <c:pt idx="24">
                  <c:v>0.19506859201163623</c:v>
                </c:pt>
                <c:pt idx="25">
                  <c:v>0.20499187690382847</c:v>
                </c:pt>
                <c:pt idx="26">
                  <c:v>0.20786526994759844</c:v>
                </c:pt>
                <c:pt idx="27">
                  <c:v>0.20428238794021583</c:v>
                </c:pt>
                <c:pt idx="28">
                  <c:v>0.19529639430499257</c:v>
                </c:pt>
                <c:pt idx="29">
                  <c:v>0.18219679071219375</c:v>
                </c:pt>
                <c:pt idx="30">
                  <c:v>0.16631870672420668</c:v>
                </c:pt>
                <c:pt idx="31">
                  <c:v>0.14890259714118539</c:v>
                </c:pt>
                <c:pt idx="32">
                  <c:v>0.13100712686825289</c:v>
                </c:pt>
                <c:pt idx="33">
                  <c:v>0.11346858881987078</c:v>
                </c:pt>
                <c:pt idx="34">
                  <c:v>9.6895807458808714E-2</c:v>
                </c:pt>
                <c:pt idx="35">
                  <c:v>8.168871182950907E-2</c:v>
                </c:pt>
                <c:pt idx="36">
                  <c:v>6.8070142784670329E-2</c:v>
                </c:pt>
                <c:pt idx="37">
                  <c:v>5.6122802356904498E-2</c:v>
                </c:pt>
                <c:pt idx="38">
                  <c:v>4.5825757010323952E-2</c:v>
                </c:pt>
                <c:pt idx="39">
                  <c:v>3.7087117845117805E-2</c:v>
                </c:pt>
                <c:pt idx="40">
                  <c:v>2.9771246707337551E-2</c:v>
                </c:pt>
                <c:pt idx="41">
                  <c:v>2.3720050739041453E-2</c:v>
                </c:pt>
                <c:pt idx="42">
                  <c:v>1.8768691860698891E-2</c:v>
                </c:pt>
                <c:pt idx="43">
                  <c:v>1.4756450612845477E-2</c:v>
                </c:pt>
                <c:pt idx="44">
                  <c:v>1.1533647640482961E-2</c:v>
                </c:pt>
                <c:pt idx="45">
                  <c:v>8.965529417486448E-3</c:v>
                </c:pt>
                <c:pt idx="46">
                  <c:v>6.9339364523523985E-3</c:v>
                </c:pt>
                <c:pt idx="47">
                  <c:v>5.3374412465703666E-3</c:v>
                </c:pt>
                <c:pt idx="48">
                  <c:v>4.090501762527632E-3</c:v>
                </c:pt>
                <c:pt idx="49">
                  <c:v>3.1220430347562631E-3</c:v>
                </c:pt>
                <c:pt idx="50">
                  <c:v>2.3737644028040731E-3</c:v>
                </c:pt>
              </c:numCache>
            </c:numRef>
          </c:yVal>
        </c:ser>
        <c:ser>
          <c:idx val="1"/>
          <c:order val="1"/>
          <c:tx>
            <c:strRef>
              <c:f>Hadwiger!$E$3</c:f>
              <c:strCache>
                <c:ptCount val="1"/>
                <c:pt idx="0">
                  <c:v>R=5; H=1.4; T=28.4; d=4</c:v>
                </c:pt>
              </c:strCache>
            </c:strRef>
          </c:tx>
          <c:marker>
            <c:symbol val="none"/>
          </c:marker>
          <c:xVal>
            <c:numRef>
              <c:f>Hadwiger!$A$11:$A$61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xVal>
          <c:yVal>
            <c:numRef>
              <c:f>Hadwiger!$E$11:$E$61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6.6233265257459685E-22</c:v>
                </c:pt>
                <c:pt idx="6">
                  <c:v>2.672038779354751E-10</c:v>
                </c:pt>
                <c:pt idx="7">
                  <c:v>1.4515369832483003E-6</c:v>
                </c:pt>
                <c:pt idx="8">
                  <c:v>9.0990259012672443E-5</c:v>
                </c:pt>
                <c:pt idx="9">
                  <c:v>9.8262056186451327E-4</c:v>
                </c:pt>
                <c:pt idx="10">
                  <c:v>4.4612902302011322E-3</c:v>
                </c:pt>
                <c:pt idx="11">
                  <c:v>1.2435201017238391E-2</c:v>
                </c:pt>
                <c:pt idx="12">
                  <c:v>2.5667358031634304E-2</c:v>
                </c:pt>
                <c:pt idx="13">
                  <c:v>4.3494850085181919E-2</c:v>
                </c:pt>
                <c:pt idx="14">
                  <c:v>6.4333247956498793E-2</c:v>
                </c:pt>
                <c:pt idx="15">
                  <c:v>8.6326237847360557E-2</c:v>
                </c:pt>
                <c:pt idx="16">
                  <c:v>0.10780234400585803</c:v>
                </c:pt>
                <c:pt idx="17">
                  <c:v>0.12749048942437743</c:v>
                </c:pt>
                <c:pt idx="18">
                  <c:v>0.14456249135273311</c:v>
                </c:pt>
                <c:pt idx="19">
                  <c:v>0.15858253052244853</c:v>
                </c:pt>
                <c:pt idx="20">
                  <c:v>0.16942097979606346</c:v>
                </c:pt>
                <c:pt idx="21">
                  <c:v>0.17716520588071324</c:v>
                </c:pt>
                <c:pt idx="22">
                  <c:v>0.18204236874400012</c:v>
                </c:pt>
                <c:pt idx="23">
                  <c:v>0.18435896849656286</c:v>
                </c:pt>
                <c:pt idx="24">
                  <c:v>0.18445673866847745</c:v>
                </c:pt>
                <c:pt idx="25">
                  <c:v>0.18268236964530662</c:v>
                </c:pt>
                <c:pt idx="26">
                  <c:v>0.17936802492496801</c:v>
                </c:pt>
                <c:pt idx="27">
                  <c:v>0.17481982586971911</c:v>
                </c:pt>
                <c:pt idx="28">
                  <c:v>0.16931196342020452</c:v>
                </c:pt>
                <c:pt idx="29">
                  <c:v>0.16308462008383195</c:v>
                </c:pt>
                <c:pt idx="30">
                  <c:v>0.1563443547183844</c:v>
                </c:pt>
                <c:pt idx="31">
                  <c:v>0.14926598479921169</c:v>
                </c:pt>
                <c:pt idx="32">
                  <c:v>0.14199529542411643</c:v>
                </c:pt>
                <c:pt idx="33">
                  <c:v>0.134652123028841</c:v>
                </c:pt>
                <c:pt idx="34">
                  <c:v>0.12733351967137585</c:v>
                </c:pt>
                <c:pt idx="35">
                  <c:v>0.12011681504953776</c:v>
                </c:pt>
                <c:pt idx="36">
                  <c:v>0.11306247016460501</c:v>
                </c:pt>
                <c:pt idx="37">
                  <c:v>0.10621666824761075</c:v>
                </c:pt>
                <c:pt idx="38">
                  <c:v>9.9613622461943524E-2</c:v>
                </c:pt>
                <c:pt idx="39">
                  <c:v>9.3277601346232558E-2</c:v>
                </c:pt>
                <c:pt idx="40">
                  <c:v>8.7224685856551853E-2</c:v>
                </c:pt>
                <c:pt idx="41">
                  <c:v>8.1464278987601835E-2</c:v>
                </c:pt>
                <c:pt idx="42">
                  <c:v>7.6000392259026286E-2</c:v>
                </c:pt>
                <c:pt idx="43">
                  <c:v>7.0832734209740386E-2</c:v>
                </c:pt>
                <c:pt idx="44">
                  <c:v>6.5957625387257218E-2</c:v>
                </c:pt>
                <c:pt idx="45">
                  <c:v>6.1368762784971838E-2</c:v>
                </c:pt>
                <c:pt idx="46">
                  <c:v>5.7057854690279998E-2</c:v>
                </c:pt>
                <c:pt idx="47">
                  <c:v>5.3015144734775491E-2</c:v>
                </c:pt>
                <c:pt idx="48">
                  <c:v>4.9229841757708358E-2</c:v>
                </c:pt>
                <c:pt idx="49">
                  <c:v>4.5690470009553064E-2</c:v>
                </c:pt>
                <c:pt idx="50">
                  <c:v>4.2385152291979138E-2</c:v>
                </c:pt>
              </c:numCache>
            </c:numRef>
          </c:yVal>
        </c:ser>
        <c:dLbls/>
        <c:axId val="86337024"/>
        <c:axId val="86338560"/>
      </c:scatterChart>
      <c:valAx>
        <c:axId val="86337024"/>
        <c:scaling>
          <c:orientation val="minMax"/>
        </c:scaling>
        <c:axPos val="b"/>
        <c:numFmt formatCode="General" sourceLinked="1"/>
        <c:tickLblPos val="nextTo"/>
        <c:crossAx val="86338560"/>
        <c:crosses val="autoZero"/>
        <c:crossBetween val="midCat"/>
      </c:valAx>
      <c:valAx>
        <c:axId val="86338560"/>
        <c:scaling>
          <c:orientation val="minMax"/>
        </c:scaling>
        <c:axPos val="l"/>
        <c:majorGridlines/>
        <c:numFmt formatCode="General" sourceLinked="1"/>
        <c:tickLblPos val="nextTo"/>
        <c:crossAx val="86337024"/>
        <c:crosses val="autoZero"/>
        <c:crossBetween val="midCat"/>
      </c:valAx>
    </c:plotArea>
    <c:legend>
      <c:legendPos val="b"/>
      <c:layout/>
    </c:legend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2"/>
          <c:order val="0"/>
          <c:tx>
            <c:strRef>
              <c:f>Gompertz!$X$18</c:f>
              <c:strCache>
                <c:ptCount val="1"/>
                <c:pt idx="0">
                  <c:v>Standard: a=0; b=1; TFR=3</c:v>
                </c:pt>
              </c:strCache>
            </c:strRef>
          </c:tx>
          <c:marker>
            <c:symbol val="none"/>
          </c:marker>
          <c:xVal>
            <c:numRef>
              <c:f>Gompertz!$A$6:$A$49</c:f>
              <c:numCache>
                <c:formatCode>General</c:formatCode>
                <c:ptCount val="4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</c:numCache>
            </c:numRef>
          </c:xVal>
          <c:yVal>
            <c:numRef>
              <c:f>Gompertz!$D$6:$D$49</c:f>
              <c:numCache>
                <c:formatCode>0.0000</c:formatCode>
                <c:ptCount val="44"/>
                <c:pt idx="0">
                  <c:v>1.3435349876977748E-10</c:v>
                </c:pt>
                <c:pt idx="1">
                  <c:v>5.4191162140723668E-7</c:v>
                </c:pt>
                <c:pt idx="2">
                  <c:v>6.8335990931917267E-5</c:v>
                </c:pt>
                <c:pt idx="3">
                  <c:v>1.2941113784893361E-3</c:v>
                </c:pt>
                <c:pt idx="4">
                  <c:v>8.027219373752871E-3</c:v>
                </c:pt>
                <c:pt idx="5">
                  <c:v>2.5652367630270706E-2</c:v>
                </c:pt>
                <c:pt idx="6">
                  <c:v>5.6234059602161546E-2</c:v>
                </c:pt>
                <c:pt idx="7">
                  <c:v>8.3510015322307465E-2</c:v>
                </c:pt>
                <c:pt idx="8">
                  <c:v>0.10806748676794131</c:v>
                </c:pt>
                <c:pt idx="9">
                  <c:v>0.12465302829228724</c:v>
                </c:pt>
                <c:pt idx="10">
                  <c:v>0.13810300383021135</c:v>
                </c:pt>
                <c:pt idx="11">
                  <c:v>0.14418899920622993</c:v>
                </c:pt>
                <c:pt idx="12">
                  <c:v>0.14712179948892828</c:v>
                </c:pt>
                <c:pt idx="13">
                  <c:v>0.14794857952431278</c:v>
                </c:pt>
                <c:pt idx="14">
                  <c:v>0.14706298126481937</c:v>
                </c:pt>
                <c:pt idx="15">
                  <c:v>0.14596340854598344</c:v>
                </c:pt>
                <c:pt idx="16">
                  <c:v>0.14322771024812664</c:v>
                </c:pt>
                <c:pt idx="17">
                  <c:v>0.13927379711631749</c:v>
                </c:pt>
                <c:pt idx="18">
                  <c:v>0.13510623724358672</c:v>
                </c:pt>
                <c:pt idx="19">
                  <c:v>0.13031227054058592</c:v>
                </c:pt>
                <c:pt idx="20">
                  <c:v>0.12466195215314746</c:v>
                </c:pt>
                <c:pt idx="21">
                  <c:v>0.11856805980294338</c:v>
                </c:pt>
                <c:pt idx="22">
                  <c:v>0.11262762653311509</c:v>
                </c:pt>
                <c:pt idx="23">
                  <c:v>0.10656860715707539</c:v>
                </c:pt>
                <c:pt idx="24">
                  <c:v>0.10029956096751858</c:v>
                </c:pt>
                <c:pt idx="25">
                  <c:v>9.3996621826954341E-2</c:v>
                </c:pt>
                <c:pt idx="26">
                  <c:v>8.7359735990932164E-2</c:v>
                </c:pt>
                <c:pt idx="27">
                  <c:v>8.0722942608245307E-2</c:v>
                </c:pt>
                <c:pt idx="28">
                  <c:v>7.3857195064786496E-2</c:v>
                </c:pt>
                <c:pt idx="29">
                  <c:v>6.6093157832901483E-2</c:v>
                </c:pt>
                <c:pt idx="30">
                  <c:v>5.7191171722197565E-2</c:v>
                </c:pt>
                <c:pt idx="31">
                  <c:v>4.6625437405151127E-2</c:v>
                </c:pt>
                <c:pt idx="32">
                  <c:v>3.6556760545894074E-2</c:v>
                </c:pt>
                <c:pt idx="33">
                  <c:v>2.6776266185235875E-2</c:v>
                </c:pt>
                <c:pt idx="34">
                  <c:v>1.7927408565766023E-2</c:v>
                </c:pt>
                <c:pt idx="35">
                  <c:v>1.1008040313650325E-2</c:v>
                </c:pt>
                <c:pt idx="36">
                  <c:v>6.8119929756641495E-3</c:v>
                </c:pt>
                <c:pt idx="37">
                  <c:v>3.9824542606874402E-3</c:v>
                </c:pt>
                <c:pt idx="38">
                  <c:v>2.0228737362728566E-3</c:v>
                </c:pt>
                <c:pt idx="39">
                  <c:v>5.2526323182044976E-4</c:v>
                </c:pt>
                <c:pt idx="40">
                  <c:v>9.1770682120184688E-7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</c:ser>
        <c:ser>
          <c:idx val="4"/>
          <c:order val="1"/>
          <c:tx>
            <c:strRef>
              <c:f>Gompertz!$AA$18</c:f>
              <c:strCache>
                <c:ptCount val="1"/>
                <c:pt idx="0">
                  <c:v>a=0.3; b=0.7; TFR=3</c:v>
                </c:pt>
              </c:strCache>
            </c:strRef>
          </c:tx>
          <c:marker>
            <c:symbol val="none"/>
          </c:marker>
          <c:xVal>
            <c:numRef>
              <c:f>Gompertz!$A$6:$A$49</c:f>
              <c:numCache>
                <c:formatCode>General</c:formatCode>
                <c:ptCount val="4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</c:numCache>
            </c:numRef>
          </c:xVal>
          <c:yVal>
            <c:numRef>
              <c:f>Gompertz!$F$6:$F$49</c:f>
              <c:numCache>
                <c:formatCode>0.0000</c:formatCode>
                <c:ptCount val="44"/>
                <c:pt idx="0">
                  <c:v>3.2801352521017874E-3</c:v>
                </c:pt>
                <c:pt idx="1">
                  <c:v>1.5909370394988923E-2</c:v>
                </c:pt>
                <c:pt idx="2">
                  <c:v>4.2249469571464096E-2</c:v>
                </c:pt>
                <c:pt idx="3">
                  <c:v>7.490586183584845E-2</c:v>
                </c:pt>
                <c:pt idx="4">
                  <c:v>0.10369128842878717</c:v>
                </c:pt>
                <c:pt idx="5">
                  <c:v>0.12497284128992894</c:v>
                </c:pt>
                <c:pt idx="6">
                  <c:v>0.14197432297277182</c:v>
                </c:pt>
                <c:pt idx="7">
                  <c:v>0.13658537533057705</c:v>
                </c:pt>
                <c:pt idx="8">
                  <c:v>0.13269894817292202</c:v>
                </c:pt>
                <c:pt idx="9">
                  <c:v>0.12559294927407005</c:v>
                </c:pt>
                <c:pt idx="10">
                  <c:v>0.12098231490922717</c:v>
                </c:pt>
                <c:pt idx="11">
                  <c:v>0.114265910008778</c:v>
                </c:pt>
                <c:pt idx="12">
                  <c:v>0.10856004743884129</c:v>
                </c:pt>
                <c:pt idx="13">
                  <c:v>0.10380112253965645</c:v>
                </c:pt>
                <c:pt idx="14">
                  <c:v>9.9672052387900278E-2</c:v>
                </c:pt>
                <c:pt idx="15">
                  <c:v>9.6757781723556369E-2</c:v>
                </c:pt>
                <c:pt idx="16">
                  <c:v>9.3811893761164278E-2</c:v>
                </c:pt>
                <c:pt idx="17">
                  <c:v>9.0916877214046288E-2</c:v>
                </c:pt>
                <c:pt idx="18">
                  <c:v>8.8562898056106731E-2</c:v>
                </c:pt>
                <c:pt idx="19">
                  <c:v>8.6352465632406727E-2</c:v>
                </c:pt>
                <c:pt idx="20">
                  <c:v>8.4023240829262158E-2</c:v>
                </c:pt>
                <c:pt idx="21">
                  <c:v>8.1750504289940462E-2</c:v>
                </c:pt>
                <c:pt idx="22">
                  <c:v>7.987773935189868E-2</c:v>
                </c:pt>
                <c:pt idx="23">
                  <c:v>7.8178813576020523E-2</c:v>
                </c:pt>
                <c:pt idx="24">
                  <c:v>7.6549813661659472E-2</c:v>
                </c:pt>
                <c:pt idx="25">
                  <c:v>7.5098748957915462E-2</c:v>
                </c:pt>
                <c:pt idx="26">
                  <c:v>7.3566481145613483E-2</c:v>
                </c:pt>
                <c:pt idx="27">
                  <c:v>7.2215239414129329E-2</c:v>
                </c:pt>
                <c:pt idx="28">
                  <c:v>7.0859492585805262E-2</c:v>
                </c:pt>
                <c:pt idx="29">
                  <c:v>6.8783671187368056E-2</c:v>
                </c:pt>
                <c:pt idx="30">
                  <c:v>6.543565952534669E-2</c:v>
                </c:pt>
                <c:pt idx="31">
                  <c:v>5.9512662513415582E-2</c:v>
                </c:pt>
                <c:pt idx="32">
                  <c:v>5.2901098223373744E-2</c:v>
                </c:pt>
                <c:pt idx="33">
                  <c:v>4.4751622822710613E-2</c:v>
                </c:pt>
                <c:pt idx="34">
                  <c:v>3.5247694835707333E-2</c:v>
                </c:pt>
                <c:pt idx="35">
                  <c:v>2.5863198161466872E-2</c:v>
                </c:pt>
                <c:pt idx="36">
                  <c:v>1.9537363656043971E-2</c:v>
                </c:pt>
                <c:pt idx="37">
                  <c:v>1.4588452315830502E-2</c:v>
                </c:pt>
                <c:pt idx="38">
                  <c:v>1.0499130287495162E-2</c:v>
                </c:pt>
                <c:pt idx="39">
                  <c:v>5.1542485778246494E-3</c:v>
                </c:pt>
                <c:pt idx="40">
                  <c:v>6.1197886028097059E-5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</c:ser>
        <c:dLbls/>
        <c:axId val="87623552"/>
        <c:axId val="87625088"/>
      </c:scatterChart>
      <c:valAx>
        <c:axId val="87623552"/>
        <c:scaling>
          <c:orientation val="minMax"/>
          <c:max val="50"/>
          <c:min val="10"/>
        </c:scaling>
        <c:axPos val="b"/>
        <c:numFmt formatCode="General" sourceLinked="1"/>
        <c:tickLblPos val="nextTo"/>
        <c:crossAx val="87625088"/>
        <c:crosses val="autoZero"/>
        <c:crossBetween val="midCat"/>
      </c:valAx>
      <c:valAx>
        <c:axId val="87625088"/>
        <c:scaling>
          <c:orientation val="minMax"/>
          <c:max val="0.3000000000000001"/>
        </c:scaling>
        <c:axPos val="l"/>
        <c:majorGridlines/>
        <c:numFmt formatCode="0.00" sourceLinked="0"/>
        <c:tickLblPos val="nextTo"/>
        <c:crossAx val="87623552"/>
        <c:crosses val="autoZero"/>
        <c:crossBetween val="midCat"/>
      </c:valAx>
    </c:plotArea>
    <c:legend>
      <c:legendPos val="b"/>
      <c:layout/>
    </c:legend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trlProps/ctrlProp10.xml><?xml version="1.0" encoding="utf-8"?>
<formControlPr xmlns="http://schemas.microsoft.com/office/spreadsheetml/2009/9/main" objectType="Spin" dx="16" fmlaLink="S3" inc="5" max="60" min="15" page="10" val="30"/>
</file>

<file path=xl/ctrlProps/ctrlProp2.xml><?xml version="1.0" encoding="utf-8"?>
<formControlPr xmlns="http://schemas.microsoft.com/office/spreadsheetml/2009/9/main" objectType="Spin" dx="16" fmlaLink="$O$5" max="295" min="261" page="10" val="274"/>
</file>

<file path=xl/ctrlProps/ctrlProp3.xml><?xml version="1.0" encoding="utf-8"?>
<formControlPr xmlns="http://schemas.microsoft.com/office/spreadsheetml/2009/9/main" objectType="Spin" dx="16" fmlaLink="$O$4" max="260" min="230" page="10" val="252"/>
</file>

<file path=xl/ctrlProps/ctrlProp4.xml><?xml version="1.0" encoding="utf-8"?>
<formControlPr xmlns="http://schemas.microsoft.com/office/spreadsheetml/2009/9/main" objectType="Spin" dx="16" fmlaLink="$I$4" inc="2" max="50" min="10" page="10" val="30"/>
</file>

<file path=xl/ctrlProps/ctrlProp5.xml><?xml version="1.0" encoding="utf-8"?>
<formControlPr xmlns="http://schemas.microsoft.com/office/spreadsheetml/2009/9/main" objectType="Spin" dx="16" fmlaLink="$I$5" inc="2" max="40" min="10" page="10" val="30"/>
</file>

<file path=xl/ctrlProps/ctrlProp6.xml><?xml version="1.0" encoding="utf-8"?>
<formControlPr xmlns="http://schemas.microsoft.com/office/spreadsheetml/2009/9/main" objectType="Spin" dx="16" fmlaLink="$I$6" inc="2" max="290" min="240" page="10" val="266"/>
</file>

<file path=xl/ctrlProps/ctrlProp7.xml><?xml version="1.0" encoding="utf-8"?>
<formControlPr xmlns="http://schemas.microsoft.com/office/spreadsheetml/2009/9/main" objectType="Spin" dx="16" fmlaLink="$I$7" max="10" page="10" val="2"/>
</file>

<file path=xl/ctrlProps/ctrlProp8.xml><?xml version="1.0" encoding="utf-8"?>
<formControlPr xmlns="http://schemas.microsoft.com/office/spreadsheetml/2009/9/main" objectType="Spin" dx="16" fmlaLink="S1" max="12" page="10" val="12"/>
</file>

<file path=xl/ctrlProps/ctrlProp9.xml><?xml version="1.0" encoding="utf-8"?>
<formControlPr xmlns="http://schemas.microsoft.com/office/spreadsheetml/2009/9/main" objectType="Spin" dx="16" fmlaLink="S2" inc="5" max="140" min="70" page="10" val="7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180975</xdr:colOff>
      <xdr:row>2</xdr:row>
      <xdr:rowOff>85725</xdr:rowOff>
    </xdr:from>
    <xdr:to>
      <xdr:col>22</xdr:col>
      <xdr:colOff>485775</xdr:colOff>
      <xdr:row>17</xdr:row>
      <xdr:rowOff>100012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581025</xdr:colOff>
      <xdr:row>20</xdr:row>
      <xdr:rowOff>33337</xdr:rowOff>
    </xdr:from>
    <xdr:to>
      <xdr:col>22</xdr:col>
      <xdr:colOff>276225</xdr:colOff>
      <xdr:row>34</xdr:row>
      <xdr:rowOff>109537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2</xdr:row>
      <xdr:rowOff>76200</xdr:rowOff>
    </xdr:from>
    <xdr:to>
      <xdr:col>16</xdr:col>
      <xdr:colOff>590550</xdr:colOff>
      <xdr:row>17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552450</xdr:colOff>
      <xdr:row>1</xdr:row>
      <xdr:rowOff>19050</xdr:rowOff>
    </xdr:from>
    <xdr:to>
      <xdr:col>28</xdr:col>
      <xdr:colOff>247650</xdr:colOff>
      <xdr:row>15</xdr:row>
      <xdr:rowOff>95250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tabSelected="1" topLeftCell="M1" workbookViewId="0">
      <selection activeCell="Q42" sqref="Q42"/>
    </sheetView>
  </sheetViews>
  <sheetFormatPr defaultRowHeight="15"/>
  <cols>
    <col min="1" max="12" width="0" hidden="1" customWidth="1"/>
    <col min="13" max="13" width="15.140625" bestFit="1" customWidth="1"/>
  </cols>
  <sheetData>
    <row r="1" spans="1:16">
      <c r="F1" t="s">
        <v>6</v>
      </c>
      <c r="G1" s="2">
        <f>(N4-N2)*(N3-2*(N5-N2))/(N3*(N5-N4))</f>
        <v>0.54736842105263139</v>
      </c>
      <c r="K1" t="str">
        <f>"A = "&amp;N5&amp;"; M = "&amp;N4</f>
        <v>A = 27.6; M = 23.8</v>
      </c>
      <c r="M1" t="s">
        <v>2</v>
      </c>
      <c r="N1" s="3">
        <v>3</v>
      </c>
    </row>
    <row r="2" spans="1:16">
      <c r="F2" t="s">
        <v>7</v>
      </c>
      <c r="G2">
        <f>(N3-N4+N2)*(N3-2*(N5-N2))/(N3*(N5-N4))</f>
        <v>1.505263157894736</v>
      </c>
      <c r="M2" t="s">
        <v>3</v>
      </c>
      <c r="N2" s="3">
        <v>15</v>
      </c>
      <c r="P2" t="s">
        <v>22</v>
      </c>
    </row>
    <row r="3" spans="1:16">
      <c r="M3" t="s">
        <v>4</v>
      </c>
      <c r="N3" s="3">
        <v>33</v>
      </c>
    </row>
    <row r="4" spans="1:16">
      <c r="F4" t="s">
        <v>9</v>
      </c>
      <c r="G4">
        <f>N4-N2</f>
        <v>8.8000000000000007</v>
      </c>
      <c r="M4" t="s">
        <v>37</v>
      </c>
      <c r="N4" s="3">
        <f>O4/10</f>
        <v>23.8</v>
      </c>
      <c r="O4">
        <v>238</v>
      </c>
    </row>
    <row r="5" spans="1:16">
      <c r="F5" t="s">
        <v>10</v>
      </c>
      <c r="G5">
        <f>N3-G4</f>
        <v>24.2</v>
      </c>
      <c r="M5" t="s">
        <v>38</v>
      </c>
      <c r="N5" s="3">
        <f>O5/10</f>
        <v>27.6</v>
      </c>
      <c r="O5">
        <v>276</v>
      </c>
    </row>
    <row r="6" spans="1:16">
      <c r="M6" t="s">
        <v>11</v>
      </c>
      <c r="N6">
        <f>N5-N2</f>
        <v>12.600000000000001</v>
      </c>
    </row>
    <row r="7" spans="1:16">
      <c r="I7" t="s">
        <v>5</v>
      </c>
    </row>
    <row r="8" spans="1:16">
      <c r="B8" t="s">
        <v>0</v>
      </c>
      <c r="E8" t="s">
        <v>8</v>
      </c>
      <c r="F8" t="s">
        <v>1</v>
      </c>
      <c r="I8" s="4" t="s">
        <v>13</v>
      </c>
      <c r="J8" s="4" t="s">
        <v>14</v>
      </c>
      <c r="K8" s="4" t="s">
        <v>15</v>
      </c>
    </row>
    <row r="9" spans="1:16">
      <c r="A9">
        <f t="shared" ref="A9:A43" si="0">$N$4+B9</f>
        <v>15</v>
      </c>
      <c r="B9">
        <f>-G4</f>
        <v>-8.8000000000000007</v>
      </c>
      <c r="C9">
        <f t="shared" ref="C9:C43" si="1">(1+B9/($N$4-$N$2))</f>
        <v>0</v>
      </c>
      <c r="D9">
        <f>(1-B9/($N$3-$N$4+$N$2))</f>
        <v>1.3636363636363638</v>
      </c>
      <c r="E9">
        <f>(C9^$G$1)*(D9^$G$2)</f>
        <v>0</v>
      </c>
      <c r="F9">
        <f t="shared" ref="F9:F43" si="2">$N$1*(E9/SUM($E$9:$E$42))</f>
        <v>0</v>
      </c>
      <c r="H9">
        <f>A9</f>
        <v>15</v>
      </c>
      <c r="I9">
        <v>0</v>
      </c>
      <c r="J9">
        <v>0</v>
      </c>
      <c r="K9">
        <v>0</v>
      </c>
    </row>
    <row r="10" spans="1:16">
      <c r="A10">
        <f t="shared" si="0"/>
        <v>16</v>
      </c>
      <c r="B10">
        <f>B9+1</f>
        <v>-7.8000000000000007</v>
      </c>
      <c r="C10">
        <f t="shared" si="1"/>
        <v>0.11363636363636365</v>
      </c>
      <c r="D10">
        <f t="shared" ref="D10:D43" si="3">(1-(B10/($N$3-$N$4+$N$2)))</f>
        <v>1.3223140495867769</v>
      </c>
      <c r="E10">
        <f t="shared" ref="E10:E43" si="4">(C10^$G$1)*(D10^$G$2)</f>
        <v>0.46308480697651011</v>
      </c>
      <c r="F10">
        <f t="shared" si="2"/>
        <v>6.9559980377820962E-2</v>
      </c>
      <c r="H10">
        <f t="shared" ref="H10:H42" si="5">A10</f>
        <v>16</v>
      </c>
      <c r="I10">
        <v>4.3916299914778835E-3</v>
      </c>
      <c r="J10">
        <v>3.1113271754982956E-2</v>
      </c>
      <c r="K10">
        <v>5.9188237643365074E-2</v>
      </c>
    </row>
    <row r="11" spans="1:16">
      <c r="A11">
        <f t="shared" si="0"/>
        <v>17</v>
      </c>
      <c r="B11">
        <f t="shared" ref="B11:B43" si="6">B10+1</f>
        <v>-6.8000000000000007</v>
      </c>
      <c r="C11">
        <f t="shared" si="1"/>
        <v>0.22727272727272729</v>
      </c>
      <c r="D11">
        <f t="shared" si="3"/>
        <v>1.28099173553719</v>
      </c>
      <c r="E11">
        <f t="shared" si="4"/>
        <v>0.64517844511444411</v>
      </c>
      <c r="F11">
        <f t="shared" si="2"/>
        <v>9.6912270293139258E-2</v>
      </c>
      <c r="H11">
        <f t="shared" si="5"/>
        <v>17</v>
      </c>
      <c r="I11">
        <v>1.9764034120161349E-2</v>
      </c>
      <c r="J11">
        <v>5.8398152649489513E-2</v>
      </c>
      <c r="K11">
        <v>8.0032277481862396E-2</v>
      </c>
    </row>
    <row r="12" spans="1:16">
      <c r="A12">
        <f t="shared" si="0"/>
        <v>18</v>
      </c>
      <c r="B12">
        <f t="shared" si="6"/>
        <v>-5.8000000000000007</v>
      </c>
      <c r="C12">
        <f t="shared" si="1"/>
        <v>0.34090909090909083</v>
      </c>
      <c r="D12">
        <f t="shared" si="3"/>
        <v>1.2396694214876034</v>
      </c>
      <c r="E12">
        <f t="shared" si="4"/>
        <v>0.76670983745876387</v>
      </c>
      <c r="F12">
        <f t="shared" si="2"/>
        <v>0.11516750376096702</v>
      </c>
      <c r="H12">
        <f t="shared" si="5"/>
        <v>18</v>
      </c>
      <c r="I12">
        <v>4.4514386636781339E-2</v>
      </c>
      <c r="J12">
        <v>8.2036947010209027E-2</v>
      </c>
      <c r="K12">
        <v>9.4187907788995648E-2</v>
      </c>
    </row>
    <row r="13" spans="1:16">
      <c r="A13">
        <f t="shared" si="0"/>
        <v>19</v>
      </c>
      <c r="B13">
        <f t="shared" si="6"/>
        <v>-4.8000000000000007</v>
      </c>
      <c r="C13">
        <f t="shared" si="1"/>
        <v>0.45454545454545447</v>
      </c>
      <c r="D13">
        <f t="shared" si="3"/>
        <v>1.1983471074380165</v>
      </c>
      <c r="E13">
        <f t="shared" si="4"/>
        <v>0.85281764718258235</v>
      </c>
      <c r="F13">
        <f t="shared" si="2"/>
        <v>0.12810176000200535</v>
      </c>
      <c r="H13">
        <f t="shared" si="5"/>
        <v>19</v>
      </c>
      <c r="I13">
        <v>7.5269789942047541E-2</v>
      </c>
      <c r="J13">
        <v>0.1022119591638308</v>
      </c>
      <c r="K13">
        <v>0.10465303800471551</v>
      </c>
    </row>
    <row r="14" spans="1:16">
      <c r="A14">
        <f t="shared" si="0"/>
        <v>20</v>
      </c>
      <c r="B14">
        <f t="shared" si="6"/>
        <v>-3.8000000000000007</v>
      </c>
      <c r="C14">
        <f t="shared" si="1"/>
        <v>0.56818181818181812</v>
      </c>
      <c r="D14">
        <f t="shared" si="3"/>
        <v>1.1570247933884299</v>
      </c>
      <c r="E14">
        <f t="shared" si="4"/>
        <v>0.9140322075929258</v>
      </c>
      <c r="F14">
        <f t="shared" si="2"/>
        <v>0.13729680064430486</v>
      </c>
      <c r="H14">
        <f t="shared" si="5"/>
        <v>20</v>
      </c>
      <c r="I14">
        <v>0.10847128468711689</v>
      </c>
      <c r="J14">
        <v>0.11910549343704424</v>
      </c>
      <c r="K14">
        <v>0.11261154581851807</v>
      </c>
    </row>
    <row r="15" spans="1:16">
      <c r="A15">
        <f t="shared" si="0"/>
        <v>21</v>
      </c>
      <c r="B15">
        <f t="shared" si="6"/>
        <v>-2.8000000000000007</v>
      </c>
      <c r="C15">
        <f t="shared" si="1"/>
        <v>0.68181818181818177</v>
      </c>
      <c r="D15">
        <f t="shared" si="3"/>
        <v>1.115702479338843</v>
      </c>
      <c r="E15">
        <f t="shared" si="4"/>
        <v>0.95615496448452952</v>
      </c>
      <c r="F15">
        <f t="shared" si="2"/>
        <v>0.1436240610050368</v>
      </c>
      <c r="H15">
        <f t="shared" si="5"/>
        <v>21</v>
      </c>
      <c r="I15">
        <v>0.14093163290446736</v>
      </c>
      <c r="J15">
        <v>0.13289985415653865</v>
      </c>
      <c r="K15">
        <v>0.11868279380110974</v>
      </c>
    </row>
    <row r="16" spans="1:16">
      <c r="A16">
        <f t="shared" si="0"/>
        <v>22</v>
      </c>
      <c r="B16">
        <f t="shared" si="6"/>
        <v>-1.8000000000000007</v>
      </c>
      <c r="C16">
        <f t="shared" si="1"/>
        <v>0.79545454545454541</v>
      </c>
      <c r="D16">
        <f t="shared" si="3"/>
        <v>1.0743801652892562</v>
      </c>
      <c r="E16">
        <f t="shared" si="4"/>
        <v>0.98288103023811535</v>
      </c>
      <c r="F16">
        <f t="shared" si="2"/>
        <v>0.14763858400684646</v>
      </c>
      <c r="H16">
        <f t="shared" si="5"/>
        <v>22</v>
      </c>
      <c r="I16">
        <v>0.17006978378308266</v>
      </c>
      <c r="J16">
        <v>0.14377734564900341</v>
      </c>
      <c r="K16">
        <v>0.12324205999109172</v>
      </c>
    </row>
    <row r="17" spans="1:11">
      <c r="A17">
        <f t="shared" si="0"/>
        <v>23</v>
      </c>
      <c r="B17">
        <f t="shared" si="6"/>
        <v>-0.80000000000000071</v>
      </c>
      <c r="C17">
        <f t="shared" si="1"/>
        <v>0.90909090909090906</v>
      </c>
      <c r="D17">
        <f t="shared" si="3"/>
        <v>1.0330578512396695</v>
      </c>
      <c r="E17">
        <f t="shared" si="4"/>
        <v>0.9967913384145457</v>
      </c>
      <c r="F17">
        <f t="shared" si="2"/>
        <v>0.14972805174412643</v>
      </c>
      <c r="H17">
        <f t="shared" si="5"/>
        <v>23</v>
      </c>
      <c r="I17">
        <v>0.19399117223584028</v>
      </c>
      <c r="J17">
        <v>0.15192027224112786</v>
      </c>
      <c r="K17">
        <v>0.12653863346107938</v>
      </c>
    </row>
    <row r="18" spans="1:11">
      <c r="A18">
        <f t="shared" si="0"/>
        <v>24</v>
      </c>
      <c r="B18">
        <f t="shared" si="6"/>
        <v>0.19999999999999929</v>
      </c>
      <c r="C18">
        <f t="shared" si="1"/>
        <v>1.0227272727272727</v>
      </c>
      <c r="D18">
        <f t="shared" si="3"/>
        <v>0.99173553719008267</v>
      </c>
      <c r="E18">
        <f t="shared" si="4"/>
        <v>0.99980906772257894</v>
      </c>
      <c r="F18">
        <f t="shared" si="2"/>
        <v>0.15018134493856936</v>
      </c>
      <c r="H18">
        <f t="shared" si="5"/>
        <v>24</v>
      </c>
      <c r="I18">
        <v>0.2114830431424275</v>
      </c>
      <c r="J18">
        <v>0.15751093825960136</v>
      </c>
      <c r="K18">
        <v>0.12874893799141257</v>
      </c>
    </row>
    <row r="19" spans="1:11">
      <c r="A19">
        <f t="shared" si="0"/>
        <v>25</v>
      </c>
      <c r="B19">
        <f t="shared" si="6"/>
        <v>1.1999999999999993</v>
      </c>
      <c r="C19">
        <f t="shared" si="1"/>
        <v>1.1363636363636362</v>
      </c>
      <c r="D19">
        <f t="shared" si="3"/>
        <v>0.95041322314049592</v>
      </c>
      <c r="E19">
        <f t="shared" si="4"/>
        <v>0.9934382717699074</v>
      </c>
      <c r="F19">
        <f t="shared" si="2"/>
        <v>0.14922438752000861</v>
      </c>
      <c r="H19">
        <f t="shared" si="5"/>
        <v>25</v>
      </c>
      <c r="I19">
        <v>0.22196040412930854</v>
      </c>
      <c r="J19">
        <v>0.16073164803111328</v>
      </c>
      <c r="K19">
        <v>0.13000374280308974</v>
      </c>
    </row>
    <row r="20" spans="1:11">
      <c r="A20">
        <f t="shared" si="0"/>
        <v>26</v>
      </c>
      <c r="B20">
        <f t="shared" si="6"/>
        <v>2.1999999999999993</v>
      </c>
      <c r="C20">
        <f t="shared" si="1"/>
        <v>1.25</v>
      </c>
      <c r="D20">
        <f t="shared" si="3"/>
        <v>0.90909090909090917</v>
      </c>
      <c r="E20">
        <f t="shared" si="4"/>
        <v>0.97890060479780638</v>
      </c>
      <c r="F20">
        <f t="shared" si="2"/>
        <v>0.14704068420242183</v>
      </c>
      <c r="H20">
        <f t="shared" si="5"/>
        <v>26</v>
      </c>
      <c r="I20">
        <v>0.22538358938555722</v>
      </c>
      <c r="J20">
        <v>0.16176470588235298</v>
      </c>
      <c r="K20">
        <v>0.13040344869538364</v>
      </c>
    </row>
    <row r="21" spans="1:11">
      <c r="A21">
        <f t="shared" si="0"/>
        <v>27</v>
      </c>
      <c r="B21">
        <f t="shared" si="6"/>
        <v>3.1999999999999993</v>
      </c>
      <c r="C21">
        <f t="shared" si="1"/>
        <v>1.3636363636363635</v>
      </c>
      <c r="D21">
        <f t="shared" si="3"/>
        <v>0.86776859504132231</v>
      </c>
      <c r="E21">
        <f t="shared" si="4"/>
        <v>0.95721930544805611</v>
      </c>
      <c r="F21">
        <f t="shared" si="2"/>
        <v>0.14378393568764969</v>
      </c>
      <c r="H21">
        <f t="shared" si="5"/>
        <v>27</v>
      </c>
      <c r="I21">
        <v>0.22216092509873811</v>
      </c>
      <c r="J21">
        <v>0.16079241614000972</v>
      </c>
      <c r="K21">
        <v>0.13002729188743403</v>
      </c>
    </row>
    <row r="22" spans="1:11">
      <c r="A22">
        <f t="shared" si="0"/>
        <v>28</v>
      </c>
      <c r="B22">
        <f t="shared" si="6"/>
        <v>4.1999999999999993</v>
      </c>
      <c r="C22">
        <f t="shared" si="1"/>
        <v>1.4772727272727271</v>
      </c>
      <c r="D22">
        <f t="shared" si="3"/>
        <v>0.82644628099173556</v>
      </c>
      <c r="E22">
        <f t="shared" si="4"/>
        <v>0.92927372335339542</v>
      </c>
      <c r="F22">
        <f t="shared" si="2"/>
        <v>0.13958622910590474</v>
      </c>
      <c r="H22">
        <f t="shared" si="5"/>
        <v>28</v>
      </c>
      <c r="I22">
        <v>0.21304567513087386</v>
      </c>
      <c r="J22">
        <v>0.15799708313077299</v>
      </c>
      <c r="K22">
        <v>0.12893919321198194</v>
      </c>
    </row>
    <row r="23" spans="1:11">
      <c r="A23">
        <f t="shared" si="0"/>
        <v>29</v>
      </c>
      <c r="B23">
        <f t="shared" si="6"/>
        <v>5.1999999999999993</v>
      </c>
      <c r="C23">
        <f t="shared" si="1"/>
        <v>1.5909090909090908</v>
      </c>
      <c r="D23">
        <f t="shared" si="3"/>
        <v>0.78512396694214881</v>
      </c>
      <c r="E23">
        <f t="shared" si="4"/>
        <v>0.89583638998526571</v>
      </c>
      <c r="F23">
        <f t="shared" si="2"/>
        <v>0.13456360642873333</v>
      </c>
      <c r="H23">
        <f t="shared" si="5"/>
        <v>29</v>
      </c>
      <c r="I23">
        <v>0.19903373423715043</v>
      </c>
      <c r="J23">
        <v>0.15356101118133203</v>
      </c>
      <c r="K23">
        <v>0.12719163917433407</v>
      </c>
    </row>
    <row r="24" spans="1:11">
      <c r="A24">
        <f t="shared" si="0"/>
        <v>30</v>
      </c>
      <c r="B24">
        <f t="shared" si="6"/>
        <v>6.1999999999999993</v>
      </c>
      <c r="C24">
        <f t="shared" si="1"/>
        <v>1.7045454545454544</v>
      </c>
      <c r="D24">
        <f t="shared" si="3"/>
        <v>0.74380165289256195</v>
      </c>
      <c r="E24">
        <f t="shared" si="4"/>
        <v>0.85759925253660774</v>
      </c>
      <c r="F24">
        <f t="shared" si="2"/>
        <v>0.12882000506120325</v>
      </c>
      <c r="H24">
        <f t="shared" si="5"/>
        <v>30</v>
      </c>
      <c r="I24">
        <v>0.18126670680338847</v>
      </c>
      <c r="J24">
        <v>0.14766650461837627</v>
      </c>
      <c r="K24">
        <v>0.12482834865874415</v>
      </c>
    </row>
    <row r="25" spans="1:11">
      <c r="A25">
        <f t="shared" si="0"/>
        <v>31</v>
      </c>
      <c r="B25">
        <f t="shared" si="6"/>
        <v>7.1999999999999993</v>
      </c>
      <c r="C25">
        <f t="shared" si="1"/>
        <v>1.8181818181818179</v>
      </c>
      <c r="D25">
        <f t="shared" si="3"/>
        <v>0.70247933884297531</v>
      </c>
      <c r="E25">
        <f t="shared" si="4"/>
        <v>0.81519293283930683</v>
      </c>
      <c r="F25">
        <f t="shared" si="2"/>
        <v>0.12245015072437228</v>
      </c>
      <c r="H25">
        <f t="shared" si="5"/>
        <v>31</v>
      </c>
      <c r="I25">
        <v>0.16094370115224915</v>
      </c>
      <c r="J25">
        <v>0.14049586776859502</v>
      </c>
      <c r="K25">
        <v>0.12188615796201216</v>
      </c>
    </row>
    <row r="26" spans="1:11">
      <c r="A26">
        <f t="shared" si="0"/>
        <v>32</v>
      </c>
      <c r="B26">
        <f t="shared" si="6"/>
        <v>8.1999999999999993</v>
      </c>
      <c r="C26">
        <f t="shared" si="1"/>
        <v>1.9318181818181817</v>
      </c>
      <c r="D26">
        <f t="shared" si="3"/>
        <v>0.66115702479338845</v>
      </c>
      <c r="E26">
        <f t="shared" si="4"/>
        <v>0.76920137899216057</v>
      </c>
      <c r="F26">
        <f t="shared" si="2"/>
        <v>0.11554175827668989</v>
      </c>
      <c r="H26">
        <f t="shared" si="5"/>
        <v>32</v>
      </c>
      <c r="I26">
        <v>0.13924418744886902</v>
      </c>
      <c r="J26">
        <v>0.13223140495867769</v>
      </c>
      <c r="K26">
        <v>0.11839638379155754</v>
      </c>
    </row>
    <row r="27" spans="1:11">
      <c r="A27">
        <f t="shared" si="0"/>
        <v>33</v>
      </c>
      <c r="B27">
        <f t="shared" si="6"/>
        <v>9.1999999999999993</v>
      </c>
      <c r="C27">
        <f t="shared" si="1"/>
        <v>2.045454545454545</v>
      </c>
      <c r="D27">
        <f t="shared" si="3"/>
        <v>0.6198347107438017</v>
      </c>
      <c r="E27">
        <f t="shared" si="4"/>
        <v>0.72017343077073692</v>
      </c>
      <c r="F27">
        <f t="shared" si="2"/>
        <v>0.10817726895449958</v>
      </c>
      <c r="H27">
        <f t="shared" si="5"/>
        <v>33</v>
      </c>
      <c r="I27">
        <v>0.11726349817451859</v>
      </c>
      <c r="J27">
        <v>0.12305542051531354</v>
      </c>
      <c r="K27">
        <v>0.11438582572040468</v>
      </c>
    </row>
    <row r="28" spans="1:11">
      <c r="A28">
        <f t="shared" si="0"/>
        <v>34</v>
      </c>
      <c r="B28">
        <f t="shared" si="6"/>
        <v>10.199999999999999</v>
      </c>
      <c r="C28">
        <f t="shared" si="1"/>
        <v>2.1590909090909092</v>
      </c>
      <c r="D28">
        <f t="shared" si="3"/>
        <v>0.57851239669421495</v>
      </c>
      <c r="E28">
        <f t="shared" si="4"/>
        <v>0.66863232559853947</v>
      </c>
      <c r="F28">
        <f t="shared" si="2"/>
        <v>0.10043527826420447</v>
      </c>
      <c r="H28">
        <f t="shared" si="5"/>
        <v>34</v>
      </c>
      <c r="I28">
        <v>9.596192513837154E-2</v>
      </c>
      <c r="J28">
        <v>0.11315021876519203</v>
      </c>
      <c r="K28">
        <v>0.10987751132095916</v>
      </c>
    </row>
    <row r="29" spans="1:11">
      <c r="A29">
        <f t="shared" si="0"/>
        <v>35</v>
      </c>
      <c r="B29">
        <f t="shared" si="6"/>
        <v>11.2</v>
      </c>
      <c r="C29">
        <f t="shared" si="1"/>
        <v>2.2727272727272725</v>
      </c>
      <c r="D29">
        <f t="shared" si="3"/>
        <v>0.53719008264462809</v>
      </c>
      <c r="E29">
        <f t="shared" si="4"/>
        <v>0.61508388099977207</v>
      </c>
      <c r="F29">
        <f t="shared" si="2"/>
        <v>9.2391765068700227E-2</v>
      </c>
      <c r="H29">
        <f t="shared" si="5"/>
        <v>35</v>
      </c>
      <c r="I29">
        <v>7.6127841962869036E-2</v>
      </c>
      <c r="J29">
        <v>0.1026981040350024</v>
      </c>
      <c r="K29">
        <v>0.10489125101449098</v>
      </c>
    </row>
    <row r="30" spans="1:11">
      <c r="A30">
        <f t="shared" si="0"/>
        <v>36</v>
      </c>
      <c r="B30">
        <f t="shared" si="6"/>
        <v>12.2</v>
      </c>
      <c r="C30">
        <f t="shared" si="1"/>
        <v>2.3863636363636362</v>
      </c>
      <c r="D30">
        <f t="shared" si="3"/>
        <v>0.49586776859504134</v>
      </c>
      <c r="E30">
        <f t="shared" si="4"/>
        <v>0.5600239253079452</v>
      </c>
      <c r="F30">
        <f t="shared" si="2"/>
        <v>8.4121207754300042E-2</v>
      </c>
      <c r="H30">
        <f t="shared" si="5"/>
        <v>36</v>
      </c>
      <c r="I30">
        <v>5.8354826358542417E-2</v>
      </c>
      <c r="J30">
        <v>9.1881380651434072E-2</v>
      </c>
      <c r="K30">
        <v>9.9444046007126169E-2</v>
      </c>
    </row>
    <row r="31" spans="1:11">
      <c r="A31">
        <f t="shared" si="0"/>
        <v>37</v>
      </c>
      <c r="B31">
        <f t="shared" si="6"/>
        <v>13.2</v>
      </c>
      <c r="C31">
        <f t="shared" si="1"/>
        <v>2.5</v>
      </c>
      <c r="D31">
        <f t="shared" si="3"/>
        <v>0.45454545454545459</v>
      </c>
      <c r="E31">
        <f t="shared" si="4"/>
        <v>0.50394547313076199</v>
      </c>
      <c r="F31">
        <f t="shared" si="2"/>
        <v>7.5697662057493578E-2</v>
      </c>
      <c r="H31">
        <f t="shared" si="5"/>
        <v>37</v>
      </c>
      <c r="I31">
        <v>4.3032351544892537E-2</v>
      </c>
      <c r="J31">
        <v>8.0882352941176447E-2</v>
      </c>
      <c r="K31">
        <v>9.3550376020763243E-2</v>
      </c>
    </row>
    <row r="32" spans="1:11">
      <c r="A32">
        <f t="shared" si="0"/>
        <v>38</v>
      </c>
      <c r="B32">
        <f t="shared" si="6"/>
        <v>14.2</v>
      </c>
      <c r="C32">
        <f t="shared" si="1"/>
        <v>2.6136363636363633</v>
      </c>
      <c r="D32">
        <f t="shared" si="3"/>
        <v>0.41322314049586784</v>
      </c>
      <c r="E32">
        <f t="shared" si="4"/>
        <v>0.44734614245137888</v>
      </c>
      <c r="F32">
        <f t="shared" si="2"/>
        <v>6.7195875187911841E-2</v>
      </c>
      <c r="H32">
        <f t="shared" si="5"/>
        <v>38</v>
      </c>
      <c r="I32">
        <v>3.0349245491596014E-2</v>
      </c>
      <c r="J32">
        <v>6.988332523091878E-2</v>
      </c>
      <c r="K32">
        <v>8.7222380296496121E-2</v>
      </c>
    </row>
    <row r="33" spans="1:11">
      <c r="A33">
        <f t="shared" si="0"/>
        <v>39</v>
      </c>
      <c r="B33">
        <f t="shared" si="6"/>
        <v>15.2</v>
      </c>
      <c r="C33">
        <f t="shared" si="1"/>
        <v>2.7272727272727271</v>
      </c>
      <c r="D33">
        <f t="shared" si="3"/>
        <v>0.37190082644628097</v>
      </c>
      <c r="E33">
        <f t="shared" si="4"/>
        <v>0.39073639431114521</v>
      </c>
      <c r="F33">
        <f t="shared" si="2"/>
        <v>5.8692523511276545E-2</v>
      </c>
      <c r="H33">
        <f t="shared" si="5"/>
        <v>39</v>
      </c>
      <c r="I33">
        <v>2.030876805298383E-2</v>
      </c>
      <c r="J33">
        <v>5.9066601847350478E-2</v>
      </c>
      <c r="K33">
        <v>8.0469932647170145E-2</v>
      </c>
    </row>
    <row r="34" spans="1:11">
      <c r="A34">
        <f t="shared" si="0"/>
        <v>40</v>
      </c>
      <c r="B34">
        <f t="shared" si="6"/>
        <v>16.2</v>
      </c>
      <c r="C34">
        <f t="shared" si="1"/>
        <v>2.8409090909090908</v>
      </c>
      <c r="D34">
        <f t="shared" si="3"/>
        <v>0.33057851239669422</v>
      </c>
      <c r="E34">
        <f t="shared" si="4"/>
        <v>0.33464937963098512</v>
      </c>
      <c r="F34">
        <f t="shared" si="2"/>
        <v>5.0267691640684876E-2</v>
      </c>
      <c r="H34">
        <f t="shared" si="5"/>
        <v>40</v>
      </c>
      <c r="I34">
        <v>1.2753818989733708E-2</v>
      </c>
      <c r="J34">
        <v>4.8614487117160876E-2</v>
      </c>
      <c r="K34">
        <v>7.3300595795252027E-2</v>
      </c>
    </row>
    <row r="35" spans="1:11">
      <c r="A35">
        <f t="shared" si="0"/>
        <v>41</v>
      </c>
      <c r="B35">
        <f t="shared" si="6"/>
        <v>17.2</v>
      </c>
      <c r="C35">
        <f t="shared" si="1"/>
        <v>2.9545454545454541</v>
      </c>
      <c r="D35">
        <f t="shared" si="3"/>
        <v>0.28925619834710747</v>
      </c>
      <c r="E35">
        <f t="shared" si="4"/>
        <v>0.27965358753651021</v>
      </c>
      <c r="F35">
        <f t="shared" si="2"/>
        <v>4.2006772341839374E-2</v>
      </c>
      <c r="H35">
        <f t="shared" si="5"/>
        <v>41</v>
      </c>
      <c r="I35">
        <v>7.4004540831123736E-3</v>
      </c>
      <c r="J35">
        <v>3.870928536703936E-2</v>
      </c>
      <c r="K35">
        <v>6.5719416254766488E-2</v>
      </c>
    </row>
    <row r="36" spans="1:11">
      <c r="A36">
        <f t="shared" si="0"/>
        <v>42</v>
      </c>
      <c r="B36">
        <f t="shared" si="6"/>
        <v>18.2</v>
      </c>
      <c r="C36">
        <f t="shared" si="1"/>
        <v>3.0681818181818179</v>
      </c>
      <c r="D36">
        <f t="shared" si="3"/>
        <v>0.24793388429752072</v>
      </c>
      <c r="E36">
        <f t="shared" si="4"/>
        <v>0.22637030464127314</v>
      </c>
      <c r="F36">
        <f t="shared" si="2"/>
        <v>3.4003089092419836E-2</v>
      </c>
      <c r="H36">
        <f t="shared" si="5"/>
        <v>42</v>
      </c>
      <c r="I36">
        <v>3.8775407237155593E-3</v>
      </c>
      <c r="J36">
        <v>2.9533300923675225E-2</v>
      </c>
      <c r="K36">
        <v>5.7728476760559443E-2</v>
      </c>
    </row>
    <row r="37" spans="1:11">
      <c r="A37">
        <f t="shared" si="0"/>
        <v>43</v>
      </c>
      <c r="B37">
        <f t="shared" si="6"/>
        <v>19.2</v>
      </c>
      <c r="C37">
        <f t="shared" si="1"/>
        <v>3.1818181818181817</v>
      </c>
      <c r="D37">
        <f t="shared" si="3"/>
        <v>0.20661157024793386</v>
      </c>
      <c r="E37">
        <f t="shared" si="4"/>
        <v>0.17549959796689607</v>
      </c>
      <c r="F37">
        <f t="shared" si="2"/>
        <v>2.6361798977162287E-2</v>
      </c>
      <c r="H37">
        <f t="shared" si="5"/>
        <v>43</v>
      </c>
      <c r="I37">
        <v>1.7700140726402964E-3</v>
      </c>
      <c r="J37">
        <v>2.1268838113757887E-2</v>
      </c>
      <c r="K37">
        <v>4.9326029364728435E-2</v>
      </c>
    </row>
    <row r="38" spans="1:11">
      <c r="A38">
        <f t="shared" si="0"/>
        <v>44</v>
      </c>
      <c r="B38">
        <f t="shared" si="6"/>
        <v>20.2</v>
      </c>
      <c r="C38">
        <f t="shared" si="1"/>
        <v>3.295454545454545</v>
      </c>
      <c r="D38">
        <f t="shared" si="3"/>
        <v>0.16528925619834711</v>
      </c>
      <c r="E38">
        <f t="shared" si="4"/>
        <v>0.1278624230186059</v>
      </c>
      <c r="F38">
        <f t="shared" si="2"/>
        <v>1.9206217742932824E-2</v>
      </c>
      <c r="H38">
        <f t="shared" si="5"/>
        <v>44</v>
      </c>
      <c r="I38">
        <v>6.6277909157354221E-4</v>
      </c>
      <c r="J38">
        <v>1.409820126397664E-2</v>
      </c>
      <c r="K38">
        <v>4.0504804962211663E-2</v>
      </c>
    </row>
    <row r="39" spans="1:11">
      <c r="A39">
        <f t="shared" si="0"/>
        <v>45</v>
      </c>
      <c r="B39">
        <f t="shared" si="6"/>
        <v>21.2</v>
      </c>
      <c r="C39">
        <f t="shared" si="1"/>
        <v>3.4090909090909087</v>
      </c>
      <c r="D39">
        <f t="shared" si="3"/>
        <v>0.12396694214876036</v>
      </c>
      <c r="E39">
        <f t="shared" si="4"/>
        <v>8.4476575226954037E-2</v>
      </c>
      <c r="F39">
        <f t="shared" si="2"/>
        <v>1.2689228466678044E-2</v>
      </c>
      <c r="H39">
        <f t="shared" si="5"/>
        <v>45</v>
      </c>
      <c r="I39">
        <v>1.8180737850203974E-4</v>
      </c>
      <c r="J39">
        <v>8.2036947010208881E-3</v>
      </c>
      <c r="K39">
        <v>3.1248450226347594E-2</v>
      </c>
    </row>
    <row r="40" spans="1:11">
      <c r="A40">
        <f t="shared" si="0"/>
        <v>46</v>
      </c>
      <c r="B40">
        <f t="shared" si="6"/>
        <v>22.2</v>
      </c>
      <c r="C40">
        <f t="shared" si="1"/>
        <v>3.5227272727272725</v>
      </c>
      <c r="D40">
        <f t="shared" si="3"/>
        <v>8.2644628099173612E-2</v>
      </c>
      <c r="E40">
        <f t="shared" si="4"/>
        <v>4.6716186199341189E-2</v>
      </c>
      <c r="F40">
        <f t="shared" si="2"/>
        <v>7.0172394913349811E-3</v>
      </c>
      <c r="H40">
        <f t="shared" si="5"/>
        <v>46</v>
      </c>
      <c r="I40">
        <v>2.8333839346943573E-5</v>
      </c>
      <c r="J40">
        <v>3.767622751579964E-3</v>
      </c>
      <c r="K40">
        <v>2.1522757069392238E-2</v>
      </c>
    </row>
    <row r="41" spans="1:11">
      <c r="A41">
        <f t="shared" si="0"/>
        <v>47</v>
      </c>
      <c r="B41">
        <f t="shared" si="6"/>
        <v>23.2</v>
      </c>
      <c r="C41">
        <f t="shared" si="1"/>
        <v>3.6363636363636362</v>
      </c>
      <c r="D41">
        <f t="shared" si="3"/>
        <v>4.132231404958675E-2</v>
      </c>
      <c r="E41">
        <f t="shared" si="4"/>
        <v>1.6745005340081654E-2</v>
      </c>
      <c r="F41">
        <f t="shared" si="2"/>
        <v>2.5152676687613083E-3</v>
      </c>
      <c r="H41">
        <f t="shared" si="5"/>
        <v>47</v>
      </c>
      <c r="I41">
        <v>1.1142680629788775E-6</v>
      </c>
      <c r="J41">
        <v>9.7228974234321282E-4</v>
      </c>
      <c r="K41">
        <v>1.1246508372644131E-2</v>
      </c>
    </row>
    <row r="42" spans="1:11">
      <c r="A42">
        <f t="shared" si="0"/>
        <v>48</v>
      </c>
      <c r="B42">
        <f t="shared" si="6"/>
        <v>24.2</v>
      </c>
      <c r="C42">
        <f t="shared" si="1"/>
        <v>3.7499999999999996</v>
      </c>
      <c r="D42">
        <f t="shared" si="3"/>
        <v>0</v>
      </c>
      <c r="E42">
        <f t="shared" si="4"/>
        <v>0</v>
      </c>
      <c r="F42">
        <f t="shared" si="2"/>
        <v>0</v>
      </c>
      <c r="H42">
        <f t="shared" si="5"/>
        <v>48</v>
      </c>
      <c r="I42">
        <v>0</v>
      </c>
      <c r="J42">
        <v>0</v>
      </c>
      <c r="K42">
        <v>0</v>
      </c>
    </row>
    <row r="43" spans="1:11">
      <c r="A43">
        <f t="shared" si="0"/>
        <v>49</v>
      </c>
      <c r="B43">
        <f t="shared" si="6"/>
        <v>25.2</v>
      </c>
      <c r="C43">
        <f t="shared" si="1"/>
        <v>3.8636363636363633</v>
      </c>
      <c r="D43">
        <f t="shared" si="3"/>
        <v>-4.1322314049586861E-2</v>
      </c>
      <c r="E43" t="e">
        <f t="shared" si="4"/>
        <v>#NUM!</v>
      </c>
      <c r="F43" t="e">
        <f t="shared" si="2"/>
        <v>#NUM!</v>
      </c>
      <c r="J43" t="e">
        <v>#NUM!</v>
      </c>
      <c r="K43" t="e">
        <v>#NUM!</v>
      </c>
    </row>
    <row r="44" spans="1:11">
      <c r="I44" t="e">
        <v>#NUM!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1"/>
  <sheetViews>
    <sheetView topLeftCell="G1" workbookViewId="0">
      <selection activeCell="I10" sqref="I10"/>
    </sheetView>
  </sheetViews>
  <sheetFormatPr defaultRowHeight="15"/>
  <cols>
    <col min="1" max="1" width="9.140625" hidden="1" customWidth="1"/>
    <col min="2" max="2" width="12" hidden="1" customWidth="1"/>
    <col min="3" max="6" width="9.140625" hidden="1" customWidth="1"/>
  </cols>
  <sheetData>
    <row r="1" spans="1:11">
      <c r="K1" t="s">
        <v>22</v>
      </c>
    </row>
    <row r="3" spans="1:11">
      <c r="B3" t="str">
        <f>"R="&amp;C4&amp;"; H="&amp;C5&amp;"; T="&amp;C6&amp;"; d="&amp;C7</f>
        <v>R=3; H=3; T=26; d=2</v>
      </c>
      <c r="E3" t="str">
        <f>"R="&amp;H4&amp;"; H="&amp;H5&amp;"; T="&amp;H6&amp;"; d="&amp;H7</f>
        <v>R=5; H=1.4; T=28.4; d=4</v>
      </c>
    </row>
    <row r="4" spans="1:11">
      <c r="B4" t="s">
        <v>16</v>
      </c>
      <c r="C4">
        <v>3</v>
      </c>
      <c r="G4" t="s">
        <v>16</v>
      </c>
      <c r="H4">
        <f>I4/10</f>
        <v>5</v>
      </c>
      <c r="I4">
        <v>50</v>
      </c>
    </row>
    <row r="5" spans="1:11">
      <c r="B5" t="s">
        <v>17</v>
      </c>
      <c r="C5">
        <v>3</v>
      </c>
      <c r="G5" t="s">
        <v>17</v>
      </c>
      <c r="H5">
        <f>I5/10</f>
        <v>1.4</v>
      </c>
      <c r="I5">
        <v>14</v>
      </c>
    </row>
    <row r="6" spans="1:11">
      <c r="B6" t="s">
        <v>2</v>
      </c>
      <c r="C6">
        <v>26</v>
      </c>
      <c r="G6" t="s">
        <v>2</v>
      </c>
      <c r="H6">
        <f>I6/10</f>
        <v>28.4</v>
      </c>
      <c r="I6">
        <v>284</v>
      </c>
    </row>
    <row r="7" spans="1:11">
      <c r="B7" t="s">
        <v>18</v>
      </c>
      <c r="C7">
        <v>2</v>
      </c>
      <c r="G7" t="s">
        <v>18</v>
      </c>
      <c r="H7">
        <f>I7</f>
        <v>4</v>
      </c>
      <c r="I7">
        <v>4</v>
      </c>
    </row>
    <row r="8" spans="1:11">
      <c r="B8" t="s">
        <v>19</v>
      </c>
      <c r="C8" s="1">
        <f>SUM(B11:B71)</f>
        <v>2.9996394465524752</v>
      </c>
      <c r="D8" s="1"/>
      <c r="E8" s="1"/>
      <c r="G8" t="s">
        <v>19</v>
      </c>
      <c r="H8" s="1">
        <f>SUM(E11:E71)</f>
        <v>4.760181762051193</v>
      </c>
    </row>
    <row r="10" spans="1:11">
      <c r="B10" t="s">
        <v>1</v>
      </c>
      <c r="C10" t="s">
        <v>20</v>
      </c>
      <c r="E10" t="s">
        <v>1</v>
      </c>
      <c r="F10" t="s">
        <v>20</v>
      </c>
    </row>
    <row r="11" spans="1:11">
      <c r="A11">
        <v>0</v>
      </c>
      <c r="B11">
        <f>IF(A11&lt;=$C$7,0,$C$4*$C$5/($C$6*SQRT(PI()))*(($C$6/(A11-$C$7))^1.5)*EXP(-($C$5^2)*((($C$6^2+(A11-$C$7)^2)/($C$6*(A11-$C$7)))-2)))</f>
        <v>0</v>
      </c>
      <c r="C11">
        <f>B11*3/$C$8</f>
        <v>0</v>
      </c>
      <c r="E11">
        <f t="shared" ref="E11:E42" si="0">IF(A11&lt;=$H$7,0,$H$4*$H$5/($H$6*SQRT(PI()))*(($H$6/(A11-$H$7))^1.5)*EXP(-($H$5^2)*((($H$6^2+(A11-$H$7)^2)/($H$6*(A11-$H$7)))-2)))</f>
        <v>0</v>
      </c>
      <c r="F11">
        <f t="shared" ref="F11:F42" si="1">E11*3/$H$8</f>
        <v>0</v>
      </c>
    </row>
    <row r="12" spans="1:11">
      <c r="A12">
        <v>1</v>
      </c>
      <c r="B12">
        <f t="shared" ref="B12:B71" si="2">IF(A12&lt;=$C$7,0,$C$4*$C$5/($C$6*SQRT(PI()))*(($C$6/(A12-$C$7))^1.5)*EXP(-($C$5^2)*((($C$6^2+(A12-$C$7)^2)/($C$6*(A12-$C$7)))-2)))</f>
        <v>0</v>
      </c>
      <c r="C12">
        <f t="shared" ref="C12:C71" si="3">B12*3/$C$8</f>
        <v>0</v>
      </c>
      <c r="E12">
        <f t="shared" si="0"/>
        <v>0</v>
      </c>
      <c r="F12">
        <f t="shared" si="1"/>
        <v>0</v>
      </c>
    </row>
    <row r="13" spans="1:11">
      <c r="A13">
        <v>2</v>
      </c>
      <c r="B13">
        <f t="shared" si="2"/>
        <v>0</v>
      </c>
      <c r="C13">
        <f t="shared" si="3"/>
        <v>0</v>
      </c>
      <c r="E13">
        <f t="shared" si="0"/>
        <v>0</v>
      </c>
      <c r="F13">
        <f t="shared" si="1"/>
        <v>0</v>
      </c>
    </row>
    <row r="14" spans="1:11">
      <c r="A14">
        <v>3</v>
      </c>
      <c r="B14">
        <f t="shared" si="2"/>
        <v>2.8524198543208955E-93</v>
      </c>
      <c r="C14">
        <f t="shared" si="3"/>
        <v>2.852762712131172E-93</v>
      </c>
      <c r="E14">
        <f t="shared" si="0"/>
        <v>0</v>
      </c>
      <c r="F14">
        <f t="shared" si="1"/>
        <v>0</v>
      </c>
    </row>
    <row r="15" spans="1:11">
      <c r="A15">
        <v>4</v>
      </c>
      <c r="B15">
        <f t="shared" si="2"/>
        <v>4.6322302103208975E-43</v>
      </c>
      <c r="C15">
        <f t="shared" si="3"/>
        <v>4.6327869994289945E-43</v>
      </c>
      <c r="E15">
        <f t="shared" si="0"/>
        <v>0</v>
      </c>
      <c r="F15">
        <f t="shared" si="1"/>
        <v>0</v>
      </c>
    </row>
    <row r="16" spans="1:11">
      <c r="A16">
        <v>5</v>
      </c>
      <c r="B16">
        <f t="shared" si="2"/>
        <v>1.5445619610646867E-26</v>
      </c>
      <c r="C16">
        <f t="shared" si="3"/>
        <v>1.5447476157574925E-26</v>
      </c>
      <c r="E16">
        <f t="shared" si="0"/>
        <v>6.6233265257459685E-22</v>
      </c>
      <c r="F16">
        <f t="shared" si="1"/>
        <v>4.1742060640717641E-22</v>
      </c>
    </row>
    <row r="17" spans="1:6">
      <c r="A17">
        <v>6</v>
      </c>
      <c r="B17">
        <f t="shared" si="2"/>
        <v>2.0883674806607472E-18</v>
      </c>
      <c r="C17">
        <f t="shared" si="3"/>
        <v>2.0886185001943502E-18</v>
      </c>
      <c r="E17">
        <f t="shared" si="0"/>
        <v>2.672038779354751E-10</v>
      </c>
      <c r="F17">
        <f t="shared" si="1"/>
        <v>1.6839937504004168E-10</v>
      </c>
    </row>
    <row r="18" spans="1:6">
      <c r="A18">
        <v>7</v>
      </c>
      <c r="B18">
        <f t="shared" si="2"/>
        <v>1.2745434205208839E-13</v>
      </c>
      <c r="C18">
        <f t="shared" si="3"/>
        <v>1.2746966192744263E-13</v>
      </c>
      <c r="E18">
        <f t="shared" si="0"/>
        <v>1.4515369832483003E-6</v>
      </c>
      <c r="F18">
        <f t="shared" si="1"/>
        <v>9.1479930124946964E-7</v>
      </c>
    </row>
    <row r="19" spans="1:6">
      <c r="A19">
        <v>8</v>
      </c>
      <c r="B19">
        <f t="shared" si="2"/>
        <v>1.6739674921233288E-10</v>
      </c>
      <c r="C19">
        <f t="shared" si="3"/>
        <v>1.674168701222317E-10</v>
      </c>
      <c r="E19">
        <f t="shared" si="0"/>
        <v>9.0990259012672443E-5</v>
      </c>
      <c r="F19">
        <f t="shared" si="1"/>
        <v>5.7344612177244361E-5</v>
      </c>
    </row>
    <row r="20" spans="1:6">
      <c r="A20">
        <v>9</v>
      </c>
      <c r="B20">
        <f t="shared" si="2"/>
        <v>2.4696466213944887E-8</v>
      </c>
      <c r="C20">
        <f t="shared" si="3"/>
        <v>2.469943470272288E-8</v>
      </c>
      <c r="E20">
        <f t="shared" si="0"/>
        <v>9.8262056186451327E-4</v>
      </c>
      <c r="F20">
        <f t="shared" si="1"/>
        <v>6.1927502623834415E-4</v>
      </c>
    </row>
    <row r="21" spans="1:6">
      <c r="A21">
        <v>10</v>
      </c>
      <c r="B21">
        <f t="shared" si="2"/>
        <v>9.3335036787021696E-7</v>
      </c>
      <c r="C21">
        <f t="shared" si="3"/>
        <v>9.3346255558440069E-7</v>
      </c>
      <c r="E21">
        <f t="shared" si="0"/>
        <v>4.4612902302011322E-3</v>
      </c>
      <c r="F21">
        <f t="shared" si="1"/>
        <v>2.8116301770872297E-3</v>
      </c>
    </row>
    <row r="22" spans="1:6">
      <c r="A22">
        <v>11</v>
      </c>
      <c r="B22">
        <f t="shared" si="2"/>
        <v>1.4270535827280892E-5</v>
      </c>
      <c r="C22">
        <f t="shared" si="3"/>
        <v>1.4272251130397227E-5</v>
      </c>
      <c r="E22">
        <f t="shared" si="0"/>
        <v>1.2435201017238391E-2</v>
      </c>
      <c r="F22">
        <f t="shared" si="1"/>
        <v>7.8370123067821578E-3</v>
      </c>
    </row>
    <row r="23" spans="1:6">
      <c r="A23">
        <v>12</v>
      </c>
      <c r="B23">
        <f t="shared" si="2"/>
        <v>1.1604782148767053E-4</v>
      </c>
      <c r="C23">
        <f t="shared" si="3"/>
        <v>1.1606177031147441E-4</v>
      </c>
      <c r="E23">
        <f t="shared" si="0"/>
        <v>2.5667358031634304E-2</v>
      </c>
      <c r="F23">
        <f t="shared" si="1"/>
        <v>1.6176288625945705E-2</v>
      </c>
    </row>
    <row r="24" spans="1:6">
      <c r="A24">
        <v>13</v>
      </c>
      <c r="B24">
        <f t="shared" si="2"/>
        <v>5.9714261548272094E-4</v>
      </c>
      <c r="C24">
        <f t="shared" si="3"/>
        <v>5.9721439138529613E-4</v>
      </c>
      <c r="E24">
        <f t="shared" si="0"/>
        <v>4.3494850085181919E-2</v>
      </c>
      <c r="F24">
        <f t="shared" si="1"/>
        <v>2.7411673918795725E-2</v>
      </c>
    </row>
    <row r="25" spans="1:6">
      <c r="A25">
        <v>14</v>
      </c>
      <c r="B25">
        <f t="shared" si="2"/>
        <v>2.1824695437406474E-3</v>
      </c>
      <c r="C25">
        <f t="shared" si="3"/>
        <v>2.1827318742414074E-3</v>
      </c>
      <c r="E25">
        <f t="shared" si="0"/>
        <v>6.4333247956498793E-2</v>
      </c>
      <c r="F25">
        <f t="shared" si="1"/>
        <v>4.0544616469924778E-2</v>
      </c>
    </row>
    <row r="26" spans="1:6">
      <c r="A26">
        <v>15</v>
      </c>
      <c r="B26">
        <f t="shared" si="2"/>
        <v>6.1364054934526244E-3</v>
      </c>
      <c r="C26">
        <f t="shared" si="3"/>
        <v>6.137143082818112E-3</v>
      </c>
      <c r="E26">
        <f t="shared" si="0"/>
        <v>8.6326237847360557E-2</v>
      </c>
      <c r="F26">
        <f t="shared" si="1"/>
        <v>5.4405215281209361E-2</v>
      </c>
    </row>
    <row r="27" spans="1:6">
      <c r="A27">
        <v>16</v>
      </c>
      <c r="B27">
        <f t="shared" si="2"/>
        <v>1.4050214007888695E-2</v>
      </c>
      <c r="C27">
        <f t="shared" si="3"/>
        <v>1.4051902828558402E-2</v>
      </c>
      <c r="E27">
        <f t="shared" si="0"/>
        <v>0.10780234400585803</v>
      </c>
      <c r="F27">
        <f t="shared" si="1"/>
        <v>6.7940059473320602E-2</v>
      </c>
    </row>
    <row r="28" spans="1:6">
      <c r="A28">
        <v>17</v>
      </c>
      <c r="B28">
        <f t="shared" si="2"/>
        <v>2.7310744288418908E-2</v>
      </c>
      <c r="C28">
        <f t="shared" si="3"/>
        <v>2.7314027010620395E-2</v>
      </c>
      <c r="E28">
        <f t="shared" si="0"/>
        <v>0.12749048942437743</v>
      </c>
      <c r="F28">
        <f t="shared" si="1"/>
        <v>8.0348080680919809E-2</v>
      </c>
    </row>
    <row r="29" spans="1:6">
      <c r="A29">
        <v>18</v>
      </c>
      <c r="B29">
        <f t="shared" si="2"/>
        <v>4.64937809474439E-2</v>
      </c>
      <c r="C29">
        <f t="shared" si="3"/>
        <v>4.6499369450098228E-2</v>
      </c>
      <c r="E29">
        <f t="shared" si="0"/>
        <v>0.14456249135273311</v>
      </c>
      <c r="F29">
        <f t="shared" si="1"/>
        <v>9.1107334916413055E-2</v>
      </c>
    </row>
    <row r="30" spans="1:6">
      <c r="A30">
        <v>19</v>
      </c>
      <c r="B30">
        <f t="shared" si="2"/>
        <v>7.0988784469965885E-2</v>
      </c>
      <c r="C30">
        <f t="shared" si="3"/>
        <v>7.0997317245798552E-2</v>
      </c>
      <c r="E30">
        <f t="shared" si="0"/>
        <v>0.15858253052244853</v>
      </c>
      <c r="F30">
        <f t="shared" si="1"/>
        <v>9.9943156658442986E-2</v>
      </c>
    </row>
    <row r="31" spans="1:6">
      <c r="A31">
        <v>20</v>
      </c>
      <c r="B31">
        <f t="shared" si="2"/>
        <v>9.902143232056293E-2</v>
      </c>
      <c r="C31">
        <f t="shared" si="3"/>
        <v>9.903333459063178E-2</v>
      </c>
      <c r="E31">
        <f t="shared" si="0"/>
        <v>0.16942097979606346</v>
      </c>
      <c r="F31">
        <f t="shared" si="1"/>
        <v>0.1067738512508347</v>
      </c>
    </row>
    <row r="32" spans="1:6">
      <c r="A32">
        <v>21</v>
      </c>
      <c r="B32">
        <f t="shared" si="2"/>
        <v>0.12803352747857971</v>
      </c>
      <c r="C32">
        <f t="shared" si="3"/>
        <v>0.12804891697140167</v>
      </c>
      <c r="E32">
        <f t="shared" si="0"/>
        <v>0.17716520588071324</v>
      </c>
      <c r="F32">
        <f t="shared" si="1"/>
        <v>0.1116544796417847</v>
      </c>
    </row>
    <row r="33" spans="1:6">
      <c r="A33">
        <v>22</v>
      </c>
      <c r="B33">
        <f t="shared" si="2"/>
        <v>0.15524241283579568</v>
      </c>
      <c r="C33">
        <f t="shared" si="3"/>
        <v>0.15526107280748475</v>
      </c>
      <c r="E33">
        <f t="shared" si="0"/>
        <v>0.18204236874400012</v>
      </c>
      <c r="F33">
        <f t="shared" si="1"/>
        <v>0.11472820441139429</v>
      </c>
    </row>
    <row r="34" spans="1:6">
      <c r="A34">
        <v>23</v>
      </c>
      <c r="B34">
        <f t="shared" si="2"/>
        <v>0.17817952576366625</v>
      </c>
      <c r="C34">
        <f t="shared" si="3"/>
        <v>0.17820094275175336</v>
      </c>
      <c r="E34">
        <f t="shared" si="0"/>
        <v>0.18435896849656286</v>
      </c>
      <c r="F34">
        <f t="shared" si="1"/>
        <v>0.11618819052223842</v>
      </c>
    </row>
    <row r="35" spans="1:6">
      <c r="A35">
        <v>24</v>
      </c>
      <c r="B35">
        <f t="shared" si="2"/>
        <v>0.19506859201163623</v>
      </c>
      <c r="C35">
        <f t="shared" si="3"/>
        <v>0.19509203904739064</v>
      </c>
      <c r="E35">
        <f t="shared" si="0"/>
        <v>0.18445673866847745</v>
      </c>
      <c r="F35">
        <f t="shared" si="1"/>
        <v>0.11624980802560396</v>
      </c>
    </row>
    <row r="36" spans="1:6">
      <c r="A36">
        <v>25</v>
      </c>
      <c r="B36">
        <f t="shared" si="2"/>
        <v>0.20499187690382847</v>
      </c>
      <c r="C36">
        <f t="shared" si="3"/>
        <v>0.20501651670779464</v>
      </c>
      <c r="E36">
        <f t="shared" si="0"/>
        <v>0.18268236964530662</v>
      </c>
      <c r="F36">
        <f t="shared" si="1"/>
        <v>0.11513155092207296</v>
      </c>
    </row>
    <row r="37" spans="1:6">
      <c r="A37">
        <v>26</v>
      </c>
      <c r="B37">
        <f t="shared" si="2"/>
        <v>0.20786526994759844</v>
      </c>
      <c r="C37">
        <f t="shared" si="3"/>
        <v>0.20789025513032977</v>
      </c>
      <c r="E37">
        <f t="shared" si="0"/>
        <v>0.17936802492496801</v>
      </c>
      <c r="F37">
        <f t="shared" si="1"/>
        <v>0.1130427579603665</v>
      </c>
    </row>
    <row r="38" spans="1:6">
      <c r="A38">
        <v>27</v>
      </c>
      <c r="B38">
        <f t="shared" si="2"/>
        <v>0.20428238794021583</v>
      </c>
      <c r="C38">
        <f t="shared" si="3"/>
        <v>0.20430694246436876</v>
      </c>
      <c r="E38">
        <f t="shared" si="0"/>
        <v>0.17481982586971911</v>
      </c>
      <c r="F38">
        <f t="shared" si="1"/>
        <v>0.11017635540521133</v>
      </c>
    </row>
    <row r="39" spans="1:6">
      <c r="A39">
        <v>28</v>
      </c>
      <c r="B39">
        <f t="shared" si="2"/>
        <v>0.19529639430499257</v>
      </c>
      <c r="C39">
        <f t="shared" si="3"/>
        <v>0.19531986872233856</v>
      </c>
      <c r="E39">
        <f t="shared" si="0"/>
        <v>0.16931196342020452</v>
      </c>
      <c r="F39">
        <f t="shared" si="1"/>
        <v>0.10670514607445174</v>
      </c>
    </row>
    <row r="40" spans="1:6">
      <c r="A40">
        <v>29</v>
      </c>
      <c r="B40">
        <f t="shared" si="2"/>
        <v>0.18219679071219375</v>
      </c>
      <c r="C40">
        <f t="shared" si="3"/>
        <v>0.18221869057122339</v>
      </c>
      <c r="E40">
        <f t="shared" si="0"/>
        <v>0.16308462008383195</v>
      </c>
      <c r="F40">
        <f t="shared" si="1"/>
        <v>0.10278049971786649</v>
      </c>
    </row>
    <row r="41" spans="1:6">
      <c r="A41">
        <v>30</v>
      </c>
      <c r="B41">
        <f t="shared" si="2"/>
        <v>0.16631870672420668</v>
      </c>
      <c r="C41">
        <f t="shared" si="3"/>
        <v>0.16633869805455345</v>
      </c>
      <c r="E41">
        <f t="shared" si="0"/>
        <v>0.1563443547183844</v>
      </c>
      <c r="F41">
        <f t="shared" si="1"/>
        <v>9.8532595518588742E-2</v>
      </c>
    </row>
    <row r="42" spans="1:6">
      <c r="A42">
        <v>31</v>
      </c>
      <c r="B42">
        <f t="shared" si="2"/>
        <v>0.14890259714118539</v>
      </c>
      <c r="C42">
        <f t="shared" si="3"/>
        <v>0.14892049507382074</v>
      </c>
      <c r="E42">
        <f t="shared" si="0"/>
        <v>0.14926598479921169</v>
      </c>
      <c r="F42">
        <f t="shared" si="1"/>
        <v>9.4071608350660127E-2</v>
      </c>
    </row>
    <row r="43" spans="1:6">
      <c r="A43">
        <v>32</v>
      </c>
      <c r="B43">
        <f t="shared" si="2"/>
        <v>0.13100712686825289</v>
      </c>
      <c r="C43">
        <f t="shared" si="3"/>
        <v>0.13102287378453542</v>
      </c>
      <c r="E43">
        <f t="shared" ref="E43:E71" si="4">IF(A43&lt;=$H$7,0,$H$4*$H$5/($H$6*SQRT(PI()))*(($H$6/(A43-$H$7))^1.5)*EXP(-($H$5^2)*((($H$6^2+(A43-$H$7)^2)/($H$6*(A43-$H$7)))-2)))</f>
        <v>0.14199529542411643</v>
      </c>
      <c r="F43">
        <f t="shared" ref="F43:F74" si="5">E43*3/$H$8</f>
        <v>8.9489416069858066E-2</v>
      </c>
    </row>
    <row r="44" spans="1:6">
      <c r="A44">
        <v>33</v>
      </c>
      <c r="B44">
        <f t="shared" si="2"/>
        <v>0.11346858881987078</v>
      </c>
      <c r="C44">
        <f t="shared" si="3"/>
        <v>0.1134822276226715</v>
      </c>
      <c r="E44">
        <f t="shared" si="4"/>
        <v>0.134652123028841</v>
      </c>
      <c r="F44">
        <f t="shared" si="5"/>
        <v>8.4861542957648653E-2</v>
      </c>
    </row>
    <row r="45" spans="1:6">
      <c r="A45">
        <v>34</v>
      </c>
      <c r="B45">
        <f t="shared" si="2"/>
        <v>9.6895807458808714E-2</v>
      </c>
      <c r="C45">
        <f t="shared" si="3"/>
        <v>9.6907454231046672E-2</v>
      </c>
      <c r="E45">
        <f t="shared" si="4"/>
        <v>0.12733351967137585</v>
      </c>
      <c r="F45">
        <f t="shared" si="5"/>
        <v>8.0249153941869864E-2</v>
      </c>
    </row>
    <row r="46" spans="1:6">
      <c r="A46">
        <v>35</v>
      </c>
      <c r="B46">
        <f t="shared" si="2"/>
        <v>8.168871182950907E-2</v>
      </c>
      <c r="C46">
        <f t="shared" si="3"/>
        <v>8.1698530725145962E-2</v>
      </c>
      <c r="E46">
        <f t="shared" si="4"/>
        <v>0.12011681504953776</v>
      </c>
      <c r="F46">
        <f t="shared" si="5"/>
        <v>7.5700984366054117E-2</v>
      </c>
    </row>
    <row r="47" spans="1:6">
      <c r="A47">
        <v>36</v>
      </c>
      <c r="B47">
        <f t="shared" si="2"/>
        <v>6.8070142784670329E-2</v>
      </c>
      <c r="C47">
        <f t="shared" si="3"/>
        <v>6.8078324742899585E-2</v>
      </c>
      <c r="E47">
        <f t="shared" si="4"/>
        <v>0.11306247016460501</v>
      </c>
      <c r="F47">
        <f t="shared" si="5"/>
        <v>7.1255138448254748E-2</v>
      </c>
    </row>
    <row r="48" spans="1:6">
      <c r="A48">
        <v>37</v>
      </c>
      <c r="B48">
        <f t="shared" si="2"/>
        <v>5.6122802356904498E-2</v>
      </c>
      <c r="C48">
        <f t="shared" si="3"/>
        <v>5.6129548257615264E-2</v>
      </c>
      <c r="E48">
        <f t="shared" si="4"/>
        <v>0.10621666824761075</v>
      </c>
      <c r="F48">
        <f t="shared" si="5"/>
        <v>6.6940722155433799E-2</v>
      </c>
    </row>
    <row r="49" spans="1:6">
      <c r="A49">
        <v>38</v>
      </c>
      <c r="B49">
        <f t="shared" si="2"/>
        <v>4.5825757010323952E-2</v>
      </c>
      <c r="C49">
        <f t="shared" si="3"/>
        <v>4.5831265217216782E-2</v>
      </c>
      <c r="E49">
        <f t="shared" si="4"/>
        <v>9.9613622461943524E-2</v>
      </c>
      <c r="F49">
        <f t="shared" si="5"/>
        <v>6.2779297582338148E-2</v>
      </c>
    </row>
    <row r="50" spans="1:6">
      <c r="A50">
        <v>39</v>
      </c>
      <c r="B50">
        <f t="shared" si="2"/>
        <v>3.7087117845117805E-2</v>
      </c>
      <c r="C50">
        <f t="shared" si="3"/>
        <v>3.7091575676945952E-2</v>
      </c>
      <c r="E50">
        <f t="shared" si="4"/>
        <v>9.3277601346232558E-2</v>
      </c>
      <c r="F50">
        <f t="shared" si="5"/>
        <v>5.8786159442389851E-2</v>
      </c>
    </row>
    <row r="51" spans="1:6">
      <c r="A51">
        <v>40</v>
      </c>
      <c r="B51">
        <f t="shared" si="2"/>
        <v>2.9771246707337551E-2</v>
      </c>
      <c r="C51">
        <f t="shared" si="3"/>
        <v>2.9774825179293498E-2</v>
      </c>
      <c r="E51">
        <f t="shared" si="4"/>
        <v>8.7224685856551853E-2</v>
      </c>
      <c r="F51">
        <f t="shared" si="5"/>
        <v>5.4971442404942644E-2</v>
      </c>
    </row>
    <row r="52" spans="1:6">
      <c r="A52">
        <v>41</v>
      </c>
      <c r="B52">
        <f t="shared" si="2"/>
        <v>2.3720050739041453E-2</v>
      </c>
      <c r="C52">
        <f t="shared" si="3"/>
        <v>2.3722901863725537E-2</v>
      </c>
      <c r="E52">
        <f t="shared" si="4"/>
        <v>8.1464278987601835E-2</v>
      </c>
      <c r="F52">
        <f t="shared" si="5"/>
        <v>5.1341072500873379E-2</v>
      </c>
    </row>
    <row r="53" spans="1:6">
      <c r="A53">
        <v>42</v>
      </c>
      <c r="B53">
        <f t="shared" si="2"/>
        <v>1.8768691860698891E-2</v>
      </c>
      <c r="C53">
        <f t="shared" si="3"/>
        <v>1.8770947837350914E-2</v>
      </c>
      <c r="E53">
        <f t="shared" si="4"/>
        <v>7.6000392259026286E-2</v>
      </c>
      <c r="F53">
        <f t="shared" si="5"/>
        <v>4.7897577902326086E-2</v>
      </c>
    </row>
    <row r="54" spans="1:6">
      <c r="A54">
        <v>43</v>
      </c>
      <c r="B54">
        <f t="shared" si="2"/>
        <v>1.4756450612845477E-2</v>
      </c>
      <c r="C54">
        <f t="shared" si="3"/>
        <v>1.4758224322398407E-2</v>
      </c>
      <c r="E54">
        <f t="shared" si="4"/>
        <v>7.0832734209740386E-2</v>
      </c>
      <c r="F54">
        <f t="shared" si="5"/>
        <v>4.4640774922353868E-2</v>
      </c>
    </row>
    <row r="55" spans="1:6">
      <c r="A55">
        <v>44</v>
      </c>
      <c r="B55">
        <f t="shared" si="2"/>
        <v>1.1533647640482961E-2</v>
      </c>
      <c r="C55">
        <f t="shared" si="3"/>
        <v>1.1535033972571671E-2</v>
      </c>
      <c r="E55">
        <f t="shared" si="4"/>
        <v>6.5957625387257218E-2</v>
      </c>
      <c r="F55">
        <f t="shared" si="5"/>
        <v>4.15683446668446E-2</v>
      </c>
    </row>
    <row r="56" spans="1:6">
      <c r="A56">
        <v>45</v>
      </c>
      <c r="B56">
        <f t="shared" si="2"/>
        <v>8.965529417486448E-3</v>
      </c>
      <c r="C56">
        <f t="shared" si="3"/>
        <v>8.966607064516352E-3</v>
      </c>
      <c r="E56">
        <f t="shared" si="4"/>
        <v>6.1368762784971838E-2</v>
      </c>
      <c r="F56">
        <f t="shared" si="5"/>
        <v>3.8676314804328593E-2</v>
      </c>
    </row>
    <row r="57" spans="1:6">
      <c r="A57">
        <v>46</v>
      </c>
      <c r="B57">
        <f t="shared" si="2"/>
        <v>6.9339364523523985E-3</v>
      </c>
      <c r="C57">
        <f t="shared" si="3"/>
        <v>6.9347699040846348E-3</v>
      </c>
      <c r="E57">
        <f t="shared" si="4"/>
        <v>5.7057854690279998E-2</v>
      </c>
      <c r="F57">
        <f t="shared" si="5"/>
        <v>3.5959459665061234E-2</v>
      </c>
    </row>
    <row r="58" spans="1:6">
      <c r="A58">
        <v>47</v>
      </c>
      <c r="B58">
        <f t="shared" si="2"/>
        <v>5.3374412465703666E-3</v>
      </c>
      <c r="C58">
        <f t="shared" si="3"/>
        <v>5.3380828012894255E-3</v>
      </c>
      <c r="E58">
        <f t="shared" si="4"/>
        <v>5.3015144734775491E-2</v>
      </c>
      <c r="F58">
        <f t="shared" si="5"/>
        <v>3.3411630512149348E-2</v>
      </c>
    </row>
    <row r="59" spans="1:6">
      <c r="A59">
        <v>48</v>
      </c>
      <c r="B59">
        <f t="shared" si="2"/>
        <v>4.090501762527632E-3</v>
      </c>
      <c r="C59">
        <f t="shared" si="3"/>
        <v>4.0909934364567373E-3</v>
      </c>
      <c r="E59">
        <f t="shared" si="4"/>
        <v>4.9229841757708358E-2</v>
      </c>
      <c r="F59">
        <f t="shared" si="5"/>
        <v>3.1026026453553887E-2</v>
      </c>
    </row>
    <row r="60" spans="1:6">
      <c r="A60">
        <v>49</v>
      </c>
      <c r="B60">
        <f t="shared" si="2"/>
        <v>3.1220430347562631E-3</v>
      </c>
      <c r="C60">
        <f t="shared" si="3"/>
        <v>3.122418300983941E-3</v>
      </c>
      <c r="E60">
        <f t="shared" si="4"/>
        <v>4.5690470009553064E-2</v>
      </c>
      <c r="F60">
        <f t="shared" si="5"/>
        <v>2.8795415150196752E-2</v>
      </c>
    </row>
    <row r="61" spans="1:6">
      <c r="A61">
        <v>50</v>
      </c>
      <c r="B61">
        <f t="shared" si="2"/>
        <v>2.3737644028040731E-3</v>
      </c>
      <c r="C61">
        <f t="shared" si="3"/>
        <v>2.3740497267419301E-3</v>
      </c>
      <c r="E61">
        <f t="shared" si="4"/>
        <v>4.2385152291979138E-2</v>
      </c>
      <c r="F61">
        <f t="shared" si="5"/>
        <v>2.6712311258708175E-2</v>
      </c>
    </row>
    <row r="62" spans="1:6">
      <c r="A62">
        <v>51</v>
      </c>
      <c r="B62">
        <f t="shared" si="2"/>
        <v>1.7983760614791119E-3</v>
      </c>
      <c r="C62">
        <f t="shared" si="3"/>
        <v>1.7985922243548395E-3</v>
      </c>
      <c r="E62">
        <f t="shared" si="4"/>
        <v>3.9301836881426432E-2</v>
      </c>
      <c r="F62">
        <f t="shared" si="5"/>
        <v>2.4769119445025779E-2</v>
      </c>
    </row>
    <row r="63" spans="1:6">
      <c r="A63">
        <v>52</v>
      </c>
      <c r="B63">
        <f t="shared" si="2"/>
        <v>1.3578958962249955E-3</v>
      </c>
      <c r="C63">
        <f t="shared" si="3"/>
        <v>1.3580591138568101E-3</v>
      </c>
      <c r="E63">
        <f t="shared" si="4"/>
        <v>3.6428477524093179E-2</v>
      </c>
      <c r="F63">
        <f t="shared" si="5"/>
        <v>2.2958247822282261E-2</v>
      </c>
    </row>
    <row r="64" spans="1:6">
      <c r="A64">
        <v>53</v>
      </c>
      <c r="B64">
        <f t="shared" si="2"/>
        <v>1.0220835964499708E-3</v>
      </c>
      <c r="C64">
        <f t="shared" si="3"/>
        <v>1.0222064498031569E-3</v>
      </c>
      <c r="E64">
        <f t="shared" si="4"/>
        <v>3.3753174416657226E-2</v>
      </c>
      <c r="F64">
        <f t="shared" si="5"/>
        <v>2.1272196800808357E-2</v>
      </c>
    </row>
    <row r="65" spans="1:6">
      <c r="A65">
        <v>54</v>
      </c>
      <c r="B65">
        <f t="shared" si="2"/>
        <v>7.6705068668157816E-4</v>
      </c>
      <c r="C65">
        <f t="shared" si="3"/>
        <v>7.6714288535226422E-4</v>
      </c>
      <c r="E65">
        <f t="shared" si="4"/>
        <v>3.126428288863245E-2</v>
      </c>
      <c r="F65">
        <f t="shared" si="5"/>
        <v>1.970362758280083E-2</v>
      </c>
    </row>
    <row r="66" spans="1:6">
      <c r="A66">
        <v>55</v>
      </c>
      <c r="B66">
        <f t="shared" si="2"/>
        <v>5.7405913018977522E-4</v>
      </c>
      <c r="C66">
        <f t="shared" si="3"/>
        <v>5.7412813148215083E-4</v>
      </c>
      <c r="E66">
        <f t="shared" si="4"/>
        <v>2.8950495464369026E-2</v>
      </c>
      <c r="F66">
        <f t="shared" si="5"/>
        <v>1.8245413880095665E-2</v>
      </c>
    </row>
    <row r="67" spans="1:6">
      <c r="A67">
        <v>56</v>
      </c>
      <c r="B67">
        <f t="shared" si="2"/>
        <v>4.2850455406275072E-4</v>
      </c>
      <c r="C67">
        <f t="shared" si="3"/>
        <v>4.285560598510297E-4</v>
      </c>
      <c r="E67">
        <f t="shared" si="4"/>
        <v>2.6800902089236266E-2</v>
      </c>
      <c r="F67">
        <f t="shared" si="5"/>
        <v>1.6890679870396955E-2</v>
      </c>
    </row>
    <row r="68" spans="1:6">
      <c r="A68">
        <v>57</v>
      </c>
      <c r="B68">
        <f t="shared" si="2"/>
        <v>3.19070375252645E-4</v>
      </c>
      <c r="C68">
        <f t="shared" si="3"/>
        <v>3.1910872716988379E-4</v>
      </c>
      <c r="E68">
        <f t="shared" si="4"/>
        <v>2.4805032539183123E-2</v>
      </c>
      <c r="F68">
        <f t="shared" si="5"/>
        <v>1.5632826924970911E-2</v>
      </c>
    </row>
    <row r="69" spans="1:6">
      <c r="A69">
        <v>58</v>
      </c>
      <c r="B69">
        <f t="shared" si="2"/>
        <v>2.3703412357430509E-4</v>
      </c>
      <c r="C69">
        <f t="shared" si="3"/>
        <v>2.3706261482198953E-4</v>
      </c>
      <c r="E69">
        <f t="shared" si="4"/>
        <v>2.2952884379993526E-2</v>
      </c>
      <c r="F69">
        <f t="shared" si="5"/>
        <v>1.4465551229352414E-2</v>
      </c>
    </row>
    <row r="70" spans="1:6">
      <c r="A70">
        <v>59</v>
      </c>
      <c r="B70">
        <f t="shared" si="2"/>
        <v>1.7570547766952526E-4</v>
      </c>
      <c r="C70">
        <f t="shared" si="3"/>
        <v>1.7572659727968227E-4</v>
      </c>
      <c r="E70">
        <f t="shared" si="4"/>
        <v>2.1234939287572644E-2</v>
      </c>
      <c r="F70">
        <f t="shared" si="5"/>
        <v>1.3382854068846968E-2</v>
      </c>
    </row>
    <row r="71" spans="1:6">
      <c r="A71">
        <v>60</v>
      </c>
      <c r="B71">
        <f t="shared" si="2"/>
        <v>1.2997577800062153E-4</v>
      </c>
      <c r="C71">
        <f t="shared" si="3"/>
        <v>1.299914009498752E-4</v>
      </c>
      <c r="E71">
        <f t="shared" si="4"/>
        <v>1.9642170070279439E-2</v>
      </c>
      <c r="F71">
        <f t="shared" si="5"/>
        <v>1.2379046254201543E-2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53"/>
  <sheetViews>
    <sheetView topLeftCell="Q1" workbookViewId="0">
      <selection activeCell="Y29" sqref="Y29"/>
    </sheetView>
  </sheetViews>
  <sheetFormatPr defaultRowHeight="15"/>
  <cols>
    <col min="1" max="1" width="9.140625" hidden="1" customWidth="1"/>
    <col min="2" max="2" width="12.28515625" hidden="1" customWidth="1"/>
    <col min="3" max="6" width="12.42578125" hidden="1" customWidth="1"/>
    <col min="7" max="16" width="9.140625" hidden="1" customWidth="1"/>
  </cols>
  <sheetData>
    <row r="1" spans="1:21" ht="15" customHeight="1">
      <c r="Q1" t="s">
        <v>3</v>
      </c>
      <c r="R1">
        <f>(S1-6)/20</f>
        <v>0.3</v>
      </c>
      <c r="S1">
        <v>12</v>
      </c>
    </row>
    <row r="2" spans="1:21">
      <c r="Q2" t="s">
        <v>23</v>
      </c>
      <c r="R2">
        <f>S2/100</f>
        <v>0.7</v>
      </c>
      <c r="S2">
        <v>70</v>
      </c>
    </row>
    <row r="3" spans="1:21" ht="14.25" customHeight="1">
      <c r="Q3" t="s">
        <v>2</v>
      </c>
      <c r="R3">
        <f>S3/10</f>
        <v>3</v>
      </c>
      <c r="S3">
        <v>30</v>
      </c>
    </row>
    <row r="4" spans="1:21">
      <c r="H4" t="s">
        <v>31</v>
      </c>
      <c r="J4" s="7">
        <v>0.25</v>
      </c>
      <c r="L4" s="7">
        <v>0.75</v>
      </c>
      <c r="N4" t="s">
        <v>33</v>
      </c>
      <c r="P4" t="s">
        <v>35</v>
      </c>
    </row>
    <row r="5" spans="1:21" ht="15" customHeight="1">
      <c r="B5" t="s">
        <v>24</v>
      </c>
      <c r="C5" t="s">
        <v>25</v>
      </c>
      <c r="D5" t="s">
        <v>1</v>
      </c>
      <c r="E5" t="s">
        <v>26</v>
      </c>
      <c r="F5" t="s">
        <v>21</v>
      </c>
      <c r="G5" t="s">
        <v>30</v>
      </c>
      <c r="H5" s="6" t="s">
        <v>32</v>
      </c>
      <c r="I5" s="6"/>
      <c r="J5" s="10" t="s">
        <v>32</v>
      </c>
      <c r="K5" s="10"/>
      <c r="L5" s="10" t="s">
        <v>32</v>
      </c>
      <c r="M5" s="10"/>
      <c r="N5" s="6"/>
      <c r="O5" s="6"/>
      <c r="P5" s="6"/>
      <c r="Q5" s="6"/>
      <c r="R5" s="6"/>
      <c r="S5" s="6"/>
      <c r="T5" s="6"/>
      <c r="U5" s="6"/>
    </row>
    <row r="6" spans="1:21">
      <c r="A6">
        <v>10</v>
      </c>
      <c r="B6" s="5">
        <v>-100000</v>
      </c>
      <c r="C6" s="5"/>
      <c r="D6" s="5">
        <f>(C7-C6)*3</f>
        <v>1.3435349876977748E-10</v>
      </c>
      <c r="E6" s="5"/>
      <c r="F6" s="5">
        <f t="shared" ref="F6:F49" si="0">(E7-E6)*$R$3</f>
        <v>3.2801352521017874E-3</v>
      </c>
      <c r="G6">
        <v>10</v>
      </c>
      <c r="N6">
        <f>IF(D6&gt;0.2*MAX($D$6:$D$49),1,0)</f>
        <v>0</v>
      </c>
      <c r="O6">
        <f>IF(F6&gt;0.2*MAX($F$6:$F$49),1,0)</f>
        <v>0</v>
      </c>
      <c r="P6">
        <f>IF(AND(D6&gt;AVERAGE($D$6:$D$49)-_xlfn.STDEV.P($D$6:$D$49),D6&lt;AVERAGE($D$6:$D$49)+_xlfn.STDEV.P($D$6:$D$49)),1,0)</f>
        <v>0</v>
      </c>
    </row>
    <row r="7" spans="1:21">
      <c r="A7">
        <v>11</v>
      </c>
      <c r="B7" s="5">
        <v>-3.1709100000000001</v>
      </c>
      <c r="C7" s="5">
        <f>EXP(-EXP(-($B7)))</f>
        <v>4.4784499589925825E-11</v>
      </c>
      <c r="D7" s="5">
        <f t="shared" ref="D7:D49" si="1">(C8-C7)*3</f>
        <v>5.4191162140723668E-7</v>
      </c>
      <c r="E7" s="5">
        <f t="shared" ref="E7:E50" si="2">EXP(-EXP(-($R$1+$R$2*$B7)))</f>
        <v>1.0933784173672624E-3</v>
      </c>
      <c r="F7" s="5">
        <f t="shared" si="0"/>
        <v>1.5909370394988923E-2</v>
      </c>
      <c r="G7">
        <v>11</v>
      </c>
      <c r="H7" t="str">
        <f t="shared" ref="H7:H22" si="3">IF(AND(C7&lt;0.5,C8&gt;0.5),$A7+(0.5-C7)/(C8-C7),"")</f>
        <v/>
      </c>
      <c r="I7" t="str">
        <f t="shared" ref="I7:I22" si="4">IF(AND(E7&lt;0.5,E8&gt;0.5),$A7+(0.5-E7)/(E8-E7),"")</f>
        <v/>
      </c>
      <c r="J7" t="str">
        <f>IF(AND(C7&lt;0.25,C8&gt;0.25),$A7+(0.25-C7)/(C8-C7),"")</f>
        <v/>
      </c>
      <c r="K7" t="str">
        <f>IF(AND(E7&lt;0.25,E8&gt;0.25),$A7+(0.25-E7)/(E8-E7),"")</f>
        <v/>
      </c>
      <c r="L7" t="str">
        <f>IF(AND(C7&lt;0.75,C8&gt;0.75),$A7+(0.75-C7)/(C8-C7),"")</f>
        <v/>
      </c>
      <c r="M7" t="str">
        <f>IF(AND(E7&lt;0.75,E8&gt;0.75),$A7+(0.75-E7)/(E8-E7),"")</f>
        <v/>
      </c>
      <c r="N7">
        <f t="shared" ref="N7:N51" si="5">IF(D7&gt;0.2*MAX($D$6:$D$49),1,0)</f>
        <v>0</v>
      </c>
      <c r="O7">
        <f t="shared" ref="O7:O51" si="6">IF(F7&gt;0.2*MAX($F$6:$F$49),1,0)</f>
        <v>0</v>
      </c>
      <c r="P7">
        <f t="shared" ref="P7:P51" si="7">IF(AND(D7&gt;AVERAGE($D$6:$D$49)-_xlfn.STDEV.P($D$6:$D$49),D7&lt;AVERAGE($D$6:$D$49)+_xlfn.STDEV.P($D$6:$D$49)),1,0)</f>
        <v>0</v>
      </c>
      <c r="R7" s="5"/>
      <c r="S7" s="5"/>
    </row>
    <row r="8" spans="1:21">
      <c r="A8">
        <v>12</v>
      </c>
      <c r="B8" s="5">
        <v>-2.74255</v>
      </c>
      <c r="C8" s="5">
        <f t="shared" ref="C8:C50" si="8">EXP(-EXP(-($B8)))</f>
        <v>1.8068199163533548E-7</v>
      </c>
      <c r="D8" s="5">
        <f t="shared" si="1"/>
        <v>6.8335990931917267E-5</v>
      </c>
      <c r="E8" s="5">
        <f t="shared" si="2"/>
        <v>6.39650188236357E-3</v>
      </c>
      <c r="F8" s="5">
        <f t="shared" si="0"/>
        <v>4.2249469571464096E-2</v>
      </c>
      <c r="G8">
        <v>12</v>
      </c>
      <c r="H8" t="str">
        <f t="shared" si="3"/>
        <v/>
      </c>
      <c r="I8" t="str">
        <f t="shared" si="4"/>
        <v/>
      </c>
      <c r="J8" t="str">
        <f t="shared" ref="J8:J51" si="9">IF(AND(C8&lt;0.25,C9&gt;0.25),$A8+(0.25-C8)/(C9-C8),"")</f>
        <v/>
      </c>
      <c r="K8" t="str">
        <f t="shared" ref="K8:K51" si="10">IF(AND(E8&lt;0.25,E9&gt;0.25),$A8+(0.25-E8)/(E9-E8),"")</f>
        <v/>
      </c>
      <c r="L8" t="str">
        <f t="shared" ref="L8:L51" si="11">IF(AND(C8&lt;0.75,C9&gt;0.75),$A8+(0.75-C8)/(C9-C8),"")</f>
        <v/>
      </c>
      <c r="M8" t="str">
        <f t="shared" ref="M8:M51" si="12">IF(AND(E8&lt;0.75,E9&gt;0.75),$A8+(0.75-E8)/(E9-E8),"")</f>
        <v/>
      </c>
      <c r="N8">
        <f t="shared" si="5"/>
        <v>0</v>
      </c>
      <c r="O8">
        <f t="shared" si="6"/>
        <v>1</v>
      </c>
      <c r="P8">
        <f t="shared" si="7"/>
        <v>0</v>
      </c>
      <c r="S8" s="5"/>
    </row>
    <row r="9" spans="1:21">
      <c r="A9">
        <v>13</v>
      </c>
      <c r="B9" s="5">
        <v>-2.3685399999999999</v>
      </c>
      <c r="C9" s="5">
        <f t="shared" si="8"/>
        <v>2.2959345635607759E-5</v>
      </c>
      <c r="D9" s="5">
        <f t="shared" si="1"/>
        <v>1.2941113784893361E-3</v>
      </c>
      <c r="E9" s="5">
        <f t="shared" si="2"/>
        <v>2.0479658406184934E-2</v>
      </c>
      <c r="F9" s="5">
        <f t="shared" si="0"/>
        <v>7.490586183584845E-2</v>
      </c>
      <c r="G9">
        <v>13</v>
      </c>
      <c r="H9" t="str">
        <f t="shared" si="3"/>
        <v/>
      </c>
      <c r="I9" t="str">
        <f t="shared" si="4"/>
        <v/>
      </c>
      <c r="J9" t="str">
        <f t="shared" si="9"/>
        <v/>
      </c>
      <c r="K9" t="str">
        <f t="shared" si="10"/>
        <v/>
      </c>
      <c r="L9" t="str">
        <f t="shared" si="11"/>
        <v/>
      </c>
      <c r="M9" t="str">
        <f t="shared" si="12"/>
        <v/>
      </c>
      <c r="N9">
        <f t="shared" si="5"/>
        <v>0</v>
      </c>
      <c r="O9">
        <f t="shared" si="6"/>
        <v>1</v>
      </c>
      <c r="P9">
        <f t="shared" si="7"/>
        <v>0</v>
      </c>
    </row>
    <row r="10" spans="1:21">
      <c r="A10">
        <v>14</v>
      </c>
      <c r="B10" s="5">
        <v>-2.0407899999999999</v>
      </c>
      <c r="C10" s="5">
        <f t="shared" si="8"/>
        <v>4.5432980513205316E-4</v>
      </c>
      <c r="D10" s="5">
        <f t="shared" si="1"/>
        <v>8.027219373752871E-3</v>
      </c>
      <c r="E10" s="5">
        <f t="shared" si="2"/>
        <v>4.5448279018134419E-2</v>
      </c>
      <c r="F10" s="5">
        <f t="shared" si="0"/>
        <v>0.10369128842878717</v>
      </c>
      <c r="G10">
        <v>14</v>
      </c>
      <c r="H10" t="str">
        <f t="shared" si="3"/>
        <v/>
      </c>
      <c r="I10" t="str">
        <f t="shared" si="4"/>
        <v/>
      </c>
      <c r="J10" t="str">
        <f t="shared" si="9"/>
        <v/>
      </c>
      <c r="K10" t="str">
        <f t="shared" si="10"/>
        <v/>
      </c>
      <c r="L10" t="str">
        <f t="shared" si="11"/>
        <v/>
      </c>
      <c r="M10" t="str">
        <f t="shared" si="12"/>
        <v/>
      </c>
      <c r="N10">
        <f t="shared" si="5"/>
        <v>0</v>
      </c>
      <c r="O10">
        <f t="shared" si="6"/>
        <v>1</v>
      </c>
      <c r="P10">
        <f t="shared" si="7"/>
        <v>0</v>
      </c>
    </row>
    <row r="11" spans="1:21" ht="15" customHeight="1">
      <c r="A11">
        <v>15</v>
      </c>
      <c r="B11" s="5">
        <v>-1.7521</v>
      </c>
      <c r="C11" s="5">
        <f t="shared" si="8"/>
        <v>3.1300695963830103E-3</v>
      </c>
      <c r="D11" s="5">
        <f t="shared" si="1"/>
        <v>2.5652367630270706E-2</v>
      </c>
      <c r="E11" s="5">
        <f t="shared" si="2"/>
        <v>8.001204182773014E-2</v>
      </c>
      <c r="F11" s="5">
        <f t="shared" si="0"/>
        <v>0.12497284128992894</v>
      </c>
      <c r="G11">
        <v>15</v>
      </c>
      <c r="H11" t="str">
        <f t="shared" si="3"/>
        <v/>
      </c>
      <c r="I11" t="str">
        <f t="shared" si="4"/>
        <v/>
      </c>
      <c r="J11" t="str">
        <f t="shared" si="9"/>
        <v/>
      </c>
      <c r="K11" t="str">
        <f t="shared" si="10"/>
        <v/>
      </c>
      <c r="L11" t="str">
        <f t="shared" si="11"/>
        <v/>
      </c>
      <c r="M11" t="str">
        <f t="shared" si="12"/>
        <v/>
      </c>
      <c r="N11">
        <f t="shared" si="5"/>
        <v>0</v>
      </c>
      <c r="O11">
        <f t="shared" si="6"/>
        <v>1</v>
      </c>
      <c r="P11">
        <f t="shared" si="7"/>
        <v>1</v>
      </c>
    </row>
    <row r="12" spans="1:21" ht="15" customHeight="1">
      <c r="A12">
        <v>16</v>
      </c>
      <c r="B12" s="5">
        <v>-1.4928600000000001</v>
      </c>
      <c r="C12" s="5">
        <f t="shared" si="8"/>
        <v>1.1680858806473245E-2</v>
      </c>
      <c r="D12" s="5">
        <f t="shared" si="1"/>
        <v>5.6234059602161546E-2</v>
      </c>
      <c r="E12" s="5">
        <f t="shared" si="2"/>
        <v>0.12166965559103979</v>
      </c>
      <c r="F12" s="5">
        <f t="shared" si="0"/>
        <v>0.14197432297277182</v>
      </c>
      <c r="G12">
        <v>16</v>
      </c>
      <c r="H12" t="str">
        <f t="shared" si="3"/>
        <v/>
      </c>
      <c r="I12" t="str">
        <f t="shared" si="4"/>
        <v/>
      </c>
      <c r="J12" t="str">
        <f t="shared" si="9"/>
        <v/>
      </c>
      <c r="K12" t="str">
        <f t="shared" si="10"/>
        <v/>
      </c>
      <c r="L12" t="str">
        <f t="shared" si="11"/>
        <v/>
      </c>
      <c r="M12" t="str">
        <f t="shared" si="12"/>
        <v/>
      </c>
      <c r="N12">
        <f t="shared" si="5"/>
        <v>1</v>
      </c>
      <c r="O12">
        <f t="shared" si="6"/>
        <v>1</v>
      </c>
      <c r="P12">
        <f t="shared" si="7"/>
        <v>1</v>
      </c>
    </row>
    <row r="13" spans="1:21" ht="15" customHeight="1">
      <c r="A13">
        <v>17</v>
      </c>
      <c r="B13" s="5">
        <v>-1.25061</v>
      </c>
      <c r="C13" s="5">
        <f t="shared" si="8"/>
        <v>3.0425545340527094E-2</v>
      </c>
      <c r="D13" s="5">
        <f t="shared" si="1"/>
        <v>8.3510015322307465E-2</v>
      </c>
      <c r="E13" s="5">
        <f t="shared" si="2"/>
        <v>0.16899442991529706</v>
      </c>
      <c r="F13" s="5">
        <f t="shared" si="0"/>
        <v>0.13658537533057705</v>
      </c>
      <c r="G13">
        <v>17</v>
      </c>
      <c r="H13" t="str">
        <f t="shared" si="3"/>
        <v/>
      </c>
      <c r="I13" t="str">
        <f t="shared" si="4"/>
        <v/>
      </c>
      <c r="J13" t="str">
        <f t="shared" si="9"/>
        <v/>
      </c>
      <c r="K13" t="str">
        <f t="shared" si="10"/>
        <v/>
      </c>
      <c r="L13" t="str">
        <f t="shared" si="11"/>
        <v/>
      </c>
      <c r="M13" t="str">
        <f t="shared" si="12"/>
        <v/>
      </c>
      <c r="N13">
        <f t="shared" si="5"/>
        <v>1</v>
      </c>
      <c r="O13">
        <f t="shared" si="6"/>
        <v>1</v>
      </c>
      <c r="P13">
        <f t="shared" si="7"/>
        <v>1</v>
      </c>
    </row>
    <row r="14" spans="1:21" ht="15" customHeight="1">
      <c r="A14">
        <v>18</v>
      </c>
      <c r="B14" s="5">
        <v>-1.0447900000000001</v>
      </c>
      <c r="C14" s="5">
        <f t="shared" si="8"/>
        <v>5.8262217114629582E-2</v>
      </c>
      <c r="D14" s="5">
        <f t="shared" si="1"/>
        <v>0.10806748676794131</v>
      </c>
      <c r="E14" s="5">
        <f t="shared" si="2"/>
        <v>0.21452288835882274</v>
      </c>
      <c r="F14" s="5">
        <f t="shared" si="0"/>
        <v>0.13269894817292202</v>
      </c>
      <c r="G14">
        <v>18</v>
      </c>
      <c r="H14" t="str">
        <f t="shared" si="3"/>
        <v/>
      </c>
      <c r="I14" t="str">
        <f t="shared" si="4"/>
        <v/>
      </c>
      <c r="J14" t="str">
        <f t="shared" si="9"/>
        <v/>
      </c>
      <c r="K14">
        <f t="shared" si="10"/>
        <v>18.80205108170744</v>
      </c>
      <c r="L14" t="str">
        <f t="shared" si="11"/>
        <v/>
      </c>
      <c r="M14" t="str">
        <f t="shared" si="12"/>
        <v/>
      </c>
      <c r="N14">
        <f t="shared" si="5"/>
        <v>1</v>
      </c>
      <c r="O14">
        <f t="shared" si="6"/>
        <v>1</v>
      </c>
      <c r="P14">
        <f t="shared" si="7"/>
        <v>1</v>
      </c>
    </row>
    <row r="15" spans="1:21" ht="15" customHeight="1">
      <c r="A15">
        <v>19</v>
      </c>
      <c r="B15" s="5">
        <v>-0.85926999999999998</v>
      </c>
      <c r="C15" s="5">
        <f t="shared" si="8"/>
        <v>9.4284712703943355E-2</v>
      </c>
      <c r="D15" s="5">
        <f t="shared" si="1"/>
        <v>0.12465302829228724</v>
      </c>
      <c r="E15" s="5">
        <f t="shared" si="2"/>
        <v>0.25875587108313008</v>
      </c>
      <c r="F15" s="5">
        <f t="shared" si="0"/>
        <v>0.12559294927407005</v>
      </c>
      <c r="G15">
        <v>19</v>
      </c>
      <c r="H15" t="str">
        <f t="shared" si="3"/>
        <v/>
      </c>
      <c r="I15" t="str">
        <f t="shared" si="4"/>
        <v/>
      </c>
      <c r="J15" t="str">
        <f t="shared" si="9"/>
        <v/>
      </c>
      <c r="K15" t="str">
        <f t="shared" si="10"/>
        <v/>
      </c>
      <c r="L15" t="str">
        <f t="shared" si="11"/>
        <v/>
      </c>
      <c r="M15" t="str">
        <f t="shared" si="12"/>
        <v/>
      </c>
      <c r="N15">
        <f t="shared" si="5"/>
        <v>1</v>
      </c>
      <c r="O15">
        <f t="shared" si="6"/>
        <v>1</v>
      </c>
      <c r="P15">
        <f t="shared" si="7"/>
        <v>0</v>
      </c>
    </row>
    <row r="16" spans="1:21">
      <c r="A16">
        <v>20</v>
      </c>
      <c r="B16" s="5">
        <v>-0.69130000000000003</v>
      </c>
      <c r="C16" s="5">
        <f t="shared" si="8"/>
        <v>0.13583572213470577</v>
      </c>
      <c r="D16" s="5">
        <f t="shared" si="1"/>
        <v>0.13810300383021135</v>
      </c>
      <c r="E16" s="5">
        <f t="shared" si="2"/>
        <v>0.3006201875078201</v>
      </c>
      <c r="F16" s="5">
        <f t="shared" si="0"/>
        <v>0.12098231490922717</v>
      </c>
      <c r="G16">
        <v>20</v>
      </c>
      <c r="H16" t="str">
        <f t="shared" si="3"/>
        <v/>
      </c>
      <c r="I16" t="str">
        <f t="shared" si="4"/>
        <v/>
      </c>
      <c r="J16" t="str">
        <f t="shared" si="9"/>
        <v/>
      </c>
      <c r="K16" t="str">
        <f t="shared" si="10"/>
        <v/>
      </c>
      <c r="L16" t="str">
        <f t="shared" si="11"/>
        <v/>
      </c>
      <c r="M16" t="str">
        <f t="shared" si="12"/>
        <v/>
      </c>
      <c r="N16">
        <f t="shared" si="5"/>
        <v>1</v>
      </c>
      <c r="O16">
        <f t="shared" si="6"/>
        <v>1</v>
      </c>
      <c r="P16">
        <f t="shared" si="7"/>
        <v>0</v>
      </c>
    </row>
    <row r="17" spans="1:28">
      <c r="A17">
        <v>21</v>
      </c>
      <c r="B17" s="5">
        <v>-0.53325</v>
      </c>
      <c r="C17" s="5">
        <f t="shared" si="8"/>
        <v>0.18187005674477622</v>
      </c>
      <c r="D17" s="5">
        <f t="shared" si="1"/>
        <v>0.14418899920622993</v>
      </c>
      <c r="E17" s="5">
        <f t="shared" si="2"/>
        <v>0.34094762581089583</v>
      </c>
      <c r="F17" s="5">
        <f t="shared" si="0"/>
        <v>0.114265910008778</v>
      </c>
      <c r="G17">
        <v>21</v>
      </c>
      <c r="H17" t="str">
        <f t="shared" si="3"/>
        <v/>
      </c>
      <c r="I17" t="str">
        <f t="shared" si="4"/>
        <v/>
      </c>
      <c r="J17" t="str">
        <f t="shared" si="9"/>
        <v/>
      </c>
      <c r="K17" t="str">
        <f t="shared" si="10"/>
        <v/>
      </c>
      <c r="L17" t="str">
        <f t="shared" si="11"/>
        <v/>
      </c>
      <c r="M17" t="str">
        <f t="shared" si="12"/>
        <v/>
      </c>
      <c r="N17">
        <f t="shared" si="5"/>
        <v>1</v>
      </c>
      <c r="O17">
        <f t="shared" si="6"/>
        <v>1</v>
      </c>
      <c r="P17">
        <f t="shared" si="7"/>
        <v>0</v>
      </c>
      <c r="V17" s="9" t="s">
        <v>27</v>
      </c>
      <c r="W17" s="9"/>
      <c r="X17" s="9"/>
      <c r="Y17" s="9"/>
      <c r="Z17" s="9"/>
      <c r="AA17" s="9"/>
      <c r="AB17" s="9"/>
    </row>
    <row r="18" spans="1:28">
      <c r="A18">
        <v>22</v>
      </c>
      <c r="B18" s="5">
        <v>-0.38524000000000003</v>
      </c>
      <c r="C18" s="5">
        <f t="shared" si="8"/>
        <v>0.22993305648018619</v>
      </c>
      <c r="D18" s="5">
        <f t="shared" si="1"/>
        <v>0.14712179948892828</v>
      </c>
      <c r="E18" s="5">
        <f t="shared" si="2"/>
        <v>0.3790362624804885</v>
      </c>
      <c r="F18" s="5">
        <f t="shared" si="0"/>
        <v>0.10856004743884129</v>
      </c>
      <c r="G18">
        <v>22</v>
      </c>
      <c r="H18" t="str">
        <f t="shared" si="3"/>
        <v/>
      </c>
      <c r="I18" t="str">
        <f t="shared" si="4"/>
        <v/>
      </c>
      <c r="J18">
        <f t="shared" si="9"/>
        <v>22.409190417521856</v>
      </c>
      <c r="K18" t="str">
        <f t="shared" si="10"/>
        <v/>
      </c>
      <c r="L18" t="str">
        <f t="shared" si="11"/>
        <v/>
      </c>
      <c r="M18" t="str">
        <f t="shared" si="12"/>
        <v/>
      </c>
      <c r="N18">
        <f t="shared" si="5"/>
        <v>1</v>
      </c>
      <c r="O18">
        <f t="shared" si="6"/>
        <v>1</v>
      </c>
      <c r="P18">
        <f t="shared" si="7"/>
        <v>0</v>
      </c>
      <c r="V18" s="8"/>
      <c r="W18" s="8"/>
      <c r="X18" s="8" t="s">
        <v>36</v>
      </c>
      <c r="Y18" s="8"/>
      <c r="Z18" s="8"/>
      <c r="AA18" s="8" t="str">
        <f>"a="&amp;R1&amp;"; b="&amp;R2&amp;"; TFR="&amp;R3</f>
        <v>a=0.3; b=0.7; TFR=3</v>
      </c>
      <c r="AB18" s="8"/>
    </row>
    <row r="19" spans="1:28">
      <c r="A19">
        <v>23</v>
      </c>
      <c r="B19" s="5">
        <v>-0.24423</v>
      </c>
      <c r="C19" s="5">
        <f t="shared" si="8"/>
        <v>0.27897365630982895</v>
      </c>
      <c r="D19" s="5">
        <f t="shared" si="1"/>
        <v>0.14794857952431278</v>
      </c>
      <c r="E19" s="5">
        <f t="shared" si="2"/>
        <v>0.41522294496010226</v>
      </c>
      <c r="F19" s="5">
        <f t="shared" si="0"/>
        <v>0.10380112253965645</v>
      </c>
      <c r="G19">
        <v>23</v>
      </c>
      <c r="H19" t="str">
        <f t="shared" si="3"/>
        <v/>
      </c>
      <c r="I19" t="str">
        <f t="shared" si="4"/>
        <v/>
      </c>
      <c r="J19" t="str">
        <f t="shared" si="9"/>
        <v/>
      </c>
      <c r="K19" t="str">
        <f t="shared" si="10"/>
        <v/>
      </c>
      <c r="L19" t="str">
        <f t="shared" si="11"/>
        <v/>
      </c>
      <c r="M19" t="str">
        <f t="shared" si="12"/>
        <v/>
      </c>
      <c r="N19">
        <f t="shared" si="5"/>
        <v>1</v>
      </c>
      <c r="O19">
        <f t="shared" si="6"/>
        <v>1</v>
      </c>
      <c r="P19">
        <f t="shared" si="7"/>
        <v>0</v>
      </c>
      <c r="V19" t="s">
        <v>31</v>
      </c>
      <c r="X19" s="1">
        <f>MAX(H6:H51)</f>
        <v>27.566340209862989</v>
      </c>
      <c r="Y19" s="1"/>
      <c r="Z19" s="1"/>
      <c r="AA19" s="1">
        <f>MAX(I6:I51)</f>
        <v>25.525621704902672</v>
      </c>
    </row>
    <row r="20" spans="1:28">
      <c r="A20">
        <v>24</v>
      </c>
      <c r="B20" s="5">
        <v>-0.10783</v>
      </c>
      <c r="C20" s="5">
        <f t="shared" si="8"/>
        <v>0.32828984948459988</v>
      </c>
      <c r="D20" s="5">
        <f t="shared" si="1"/>
        <v>0.14706298126481937</v>
      </c>
      <c r="E20" s="5">
        <f t="shared" si="2"/>
        <v>0.44982331913998774</v>
      </c>
      <c r="F20" s="5">
        <f t="shared" si="0"/>
        <v>9.9672052387900278E-2</v>
      </c>
      <c r="G20">
        <v>24</v>
      </c>
      <c r="H20" t="str">
        <f t="shared" si="3"/>
        <v/>
      </c>
      <c r="I20" t="str">
        <f t="shared" si="4"/>
        <v/>
      </c>
      <c r="J20" t="str">
        <f t="shared" si="9"/>
        <v/>
      </c>
      <c r="K20" t="str">
        <f t="shared" si="10"/>
        <v/>
      </c>
      <c r="L20" t="str">
        <f t="shared" si="11"/>
        <v/>
      </c>
      <c r="M20" t="str">
        <f t="shared" si="12"/>
        <v/>
      </c>
      <c r="N20">
        <f t="shared" si="5"/>
        <v>1</v>
      </c>
      <c r="O20">
        <f t="shared" si="6"/>
        <v>1</v>
      </c>
      <c r="P20">
        <f t="shared" si="7"/>
        <v>0</v>
      </c>
      <c r="V20" t="s">
        <v>28</v>
      </c>
      <c r="X20" s="1">
        <f>SUMPRODUCT($A$6:$A$51,D6:D51)/SUM(D6:D51)</f>
        <v>27.782746257823487</v>
      </c>
      <c r="Y20" s="1"/>
      <c r="Z20" s="1"/>
      <c r="AA20" s="1">
        <f>SUMPRODUCT($A$6:$A$51,F6:F51)/SUM(F6:F51)</f>
        <v>26.34903993011584</v>
      </c>
    </row>
    <row r="21" spans="1:28">
      <c r="A21">
        <v>25</v>
      </c>
      <c r="B21" s="5">
        <v>2.564E-2</v>
      </c>
      <c r="C21" s="5">
        <f t="shared" si="8"/>
        <v>0.37731084323953967</v>
      </c>
      <c r="D21" s="5">
        <f t="shared" si="1"/>
        <v>0.14596340854598344</v>
      </c>
      <c r="E21" s="5">
        <f t="shared" si="2"/>
        <v>0.48304733660262117</v>
      </c>
      <c r="F21" s="5">
        <f t="shared" si="0"/>
        <v>9.6757781723556369E-2</v>
      </c>
      <c r="G21">
        <v>25</v>
      </c>
      <c r="H21" t="str">
        <f t="shared" si="3"/>
        <v/>
      </c>
      <c r="I21">
        <f t="shared" si="4"/>
        <v>25.525621704902672</v>
      </c>
      <c r="J21" t="str">
        <f t="shared" si="9"/>
        <v/>
      </c>
      <c r="K21" t="str">
        <f t="shared" si="10"/>
        <v/>
      </c>
      <c r="L21" t="str">
        <f t="shared" si="11"/>
        <v/>
      </c>
      <c r="M21" t="str">
        <f t="shared" si="12"/>
        <v/>
      </c>
      <c r="N21">
        <f t="shared" si="5"/>
        <v>1</v>
      </c>
      <c r="O21">
        <f t="shared" si="6"/>
        <v>1</v>
      </c>
      <c r="P21">
        <f t="shared" si="7"/>
        <v>0</v>
      </c>
      <c r="V21" t="s">
        <v>12</v>
      </c>
      <c r="X21" s="2">
        <f>VLOOKUP(MAX(D6:D51),$D$6:$G$51,4,FALSE)</f>
        <v>23</v>
      </c>
      <c r="Z21" s="2"/>
      <c r="AA21" s="2">
        <f>VLOOKUP(MAX(F6:F51),$F$6:$G$51,2,FALSE)</f>
        <v>16</v>
      </c>
    </row>
    <row r="22" spans="1:28">
      <c r="A22">
        <v>26</v>
      </c>
      <c r="B22" s="5">
        <v>0.15853</v>
      </c>
      <c r="C22" s="5">
        <f t="shared" si="8"/>
        <v>0.42596531275486749</v>
      </c>
      <c r="D22" s="5">
        <f t="shared" si="1"/>
        <v>0.14322771024812664</v>
      </c>
      <c r="E22" s="5">
        <f t="shared" si="2"/>
        <v>0.51529993051047329</v>
      </c>
      <c r="F22" s="5">
        <f t="shared" si="0"/>
        <v>9.3811893761164278E-2</v>
      </c>
      <c r="G22">
        <v>26</v>
      </c>
      <c r="H22" t="str">
        <f t="shared" si="3"/>
        <v/>
      </c>
      <c r="I22" t="str">
        <f t="shared" si="4"/>
        <v/>
      </c>
      <c r="J22" t="str">
        <f t="shared" si="9"/>
        <v/>
      </c>
      <c r="K22" t="str">
        <f t="shared" si="10"/>
        <v/>
      </c>
      <c r="L22" t="str">
        <f t="shared" si="11"/>
        <v/>
      </c>
      <c r="M22" t="str">
        <f t="shared" si="12"/>
        <v/>
      </c>
      <c r="N22">
        <f t="shared" si="5"/>
        <v>1</v>
      </c>
      <c r="O22">
        <f t="shared" si="6"/>
        <v>1</v>
      </c>
      <c r="P22">
        <f t="shared" si="7"/>
        <v>0</v>
      </c>
      <c r="V22" t="s">
        <v>29</v>
      </c>
      <c r="X22" s="2">
        <f>MAX(L6:L51)-MAX(J6:J51)</f>
        <v>11.231959072185425</v>
      </c>
      <c r="Z22" s="2"/>
      <c r="AA22" s="2">
        <f>MAX(M6:M51)-MAX(K6:K51)</f>
        <v>15.467391452129384</v>
      </c>
    </row>
    <row r="23" spans="1:28">
      <c r="A23">
        <v>27</v>
      </c>
      <c r="B23" s="5">
        <v>0.29147000000000001</v>
      </c>
      <c r="C23" s="5">
        <f t="shared" si="8"/>
        <v>0.47370788283757637</v>
      </c>
      <c r="D23" s="5">
        <f t="shared" si="1"/>
        <v>0.13927379711631749</v>
      </c>
      <c r="E23" s="5">
        <f t="shared" si="2"/>
        <v>0.54657056176419472</v>
      </c>
      <c r="F23" s="5">
        <f t="shared" si="0"/>
        <v>9.0916877214046288E-2</v>
      </c>
      <c r="G23">
        <v>27</v>
      </c>
      <c r="H23">
        <f>IF(AND(C23&lt;0.5,C24&gt;0.5),$A23+(0.5-C23)/(C24-C23),"")</f>
        <v>27.566340209862989</v>
      </c>
      <c r="I23" t="str">
        <f>IF(AND(E23&lt;0.5,E24&gt;0.5),$A23+(0.5-E23)/(E24-E23),"")</f>
        <v/>
      </c>
      <c r="J23" t="str">
        <f t="shared" si="9"/>
        <v/>
      </c>
      <c r="K23" t="str">
        <f t="shared" si="10"/>
        <v/>
      </c>
      <c r="L23" t="str">
        <f t="shared" si="11"/>
        <v/>
      </c>
      <c r="M23" t="str">
        <f t="shared" si="12"/>
        <v/>
      </c>
      <c r="N23">
        <f t="shared" si="5"/>
        <v>1</v>
      </c>
      <c r="O23">
        <f t="shared" si="6"/>
        <v>1</v>
      </c>
      <c r="P23">
        <f t="shared" si="7"/>
        <v>0</v>
      </c>
      <c r="V23" t="s">
        <v>34</v>
      </c>
      <c r="X23" s="2">
        <f>SUM(N6:N51)</f>
        <v>27</v>
      </c>
      <c r="Z23" s="2"/>
      <c r="AA23" s="2">
        <f>SUM(O6:O51)</f>
        <v>33</v>
      </c>
    </row>
    <row r="24" spans="1:28">
      <c r="A24">
        <v>28</v>
      </c>
      <c r="B24" s="5">
        <v>0.42514999999999997</v>
      </c>
      <c r="C24" s="5">
        <f t="shared" si="8"/>
        <v>0.52013248187634886</v>
      </c>
      <c r="D24" s="5">
        <f t="shared" si="1"/>
        <v>0.13510623724358672</v>
      </c>
      <c r="E24" s="5">
        <f t="shared" si="2"/>
        <v>0.57687618750221015</v>
      </c>
      <c r="F24" s="5">
        <f t="shared" si="0"/>
        <v>8.8562898056106731E-2</v>
      </c>
      <c r="G24">
        <v>28</v>
      </c>
      <c r="H24" t="str">
        <f t="shared" ref="H24:H51" si="13">IF(AND(C24&lt;0.5,C25&gt;0.5),$A24+(0.5-C24)/(C25-C24),"")</f>
        <v/>
      </c>
      <c r="I24" t="str">
        <f t="shared" ref="I24:I51" si="14">IF(AND(E24&lt;0.5,E25&gt;0.5),$A24+(0.5-E24)/(E25-E24),"")</f>
        <v/>
      </c>
      <c r="J24" t="str">
        <f t="shared" si="9"/>
        <v/>
      </c>
      <c r="K24" t="str">
        <f t="shared" si="10"/>
        <v/>
      </c>
      <c r="L24" t="str">
        <f t="shared" si="11"/>
        <v/>
      </c>
      <c r="M24" t="str">
        <f t="shared" si="12"/>
        <v/>
      </c>
      <c r="N24">
        <f t="shared" si="5"/>
        <v>1</v>
      </c>
      <c r="O24">
        <f t="shared" si="6"/>
        <v>1</v>
      </c>
      <c r="P24">
        <f t="shared" si="7"/>
        <v>0</v>
      </c>
    </row>
    <row r="25" spans="1:28">
      <c r="A25">
        <v>29</v>
      </c>
      <c r="B25" s="5">
        <v>0.56101000000000001</v>
      </c>
      <c r="C25" s="5">
        <f t="shared" si="8"/>
        <v>0.56516789429087777</v>
      </c>
      <c r="D25" s="5">
        <f t="shared" si="1"/>
        <v>0.13031227054058592</v>
      </c>
      <c r="E25" s="5">
        <f t="shared" si="2"/>
        <v>0.60639715352091239</v>
      </c>
      <c r="F25" s="5">
        <f t="shared" si="0"/>
        <v>8.6352465632406727E-2</v>
      </c>
      <c r="G25">
        <v>29</v>
      </c>
      <c r="H25" t="str">
        <f t="shared" si="13"/>
        <v/>
      </c>
      <c r="I25" t="str">
        <f t="shared" si="14"/>
        <v/>
      </c>
      <c r="J25" t="str">
        <f t="shared" si="9"/>
        <v/>
      </c>
      <c r="K25" t="str">
        <f t="shared" si="10"/>
        <v/>
      </c>
      <c r="L25" t="str">
        <f t="shared" si="11"/>
        <v/>
      </c>
      <c r="M25" t="str">
        <f t="shared" si="12"/>
        <v/>
      </c>
      <c r="N25">
        <f t="shared" si="5"/>
        <v>1</v>
      </c>
      <c r="O25">
        <f t="shared" si="6"/>
        <v>1</v>
      </c>
      <c r="P25">
        <f t="shared" si="7"/>
        <v>0</v>
      </c>
    </row>
    <row r="26" spans="1:28">
      <c r="A26">
        <v>30</v>
      </c>
      <c r="B26" s="5">
        <v>0.7</v>
      </c>
      <c r="C26" s="5">
        <f t="shared" si="8"/>
        <v>0.60860531780440641</v>
      </c>
      <c r="D26" s="5">
        <f t="shared" si="1"/>
        <v>0.12466195215314746</v>
      </c>
      <c r="E26" s="5">
        <f t="shared" si="2"/>
        <v>0.63518130873171463</v>
      </c>
      <c r="F26" s="5">
        <f t="shared" si="0"/>
        <v>8.4023240829262158E-2</v>
      </c>
      <c r="G26">
        <v>30</v>
      </c>
      <c r="H26" t="str">
        <f t="shared" si="13"/>
        <v/>
      </c>
      <c r="I26" t="str">
        <f t="shared" si="14"/>
        <v/>
      </c>
      <c r="J26" t="str">
        <f t="shared" si="9"/>
        <v/>
      </c>
      <c r="K26" t="str">
        <f t="shared" si="10"/>
        <v/>
      </c>
      <c r="L26" t="str">
        <f t="shared" si="11"/>
        <v/>
      </c>
      <c r="M26" t="str">
        <f t="shared" si="12"/>
        <v/>
      </c>
      <c r="N26">
        <f t="shared" si="5"/>
        <v>1</v>
      </c>
      <c r="O26">
        <f t="shared" si="6"/>
        <v>1</v>
      </c>
      <c r="P26">
        <f t="shared" si="7"/>
        <v>0</v>
      </c>
    </row>
    <row r="27" spans="1:28">
      <c r="A27">
        <v>31</v>
      </c>
      <c r="B27" s="5">
        <v>0.84272000000000002</v>
      </c>
      <c r="C27" s="5">
        <f t="shared" si="8"/>
        <v>0.65015930185545556</v>
      </c>
      <c r="D27" s="5">
        <f t="shared" si="1"/>
        <v>0.11856805980294338</v>
      </c>
      <c r="E27" s="5">
        <f t="shared" si="2"/>
        <v>0.66318905567480202</v>
      </c>
      <c r="F27" s="5">
        <f t="shared" si="0"/>
        <v>8.1750504289940462E-2</v>
      </c>
      <c r="G27">
        <v>31</v>
      </c>
      <c r="H27" t="str">
        <f t="shared" si="13"/>
        <v/>
      </c>
      <c r="I27" t="str">
        <f t="shared" si="14"/>
        <v/>
      </c>
      <c r="J27" t="str">
        <f t="shared" si="9"/>
        <v/>
      </c>
      <c r="K27" t="str">
        <f t="shared" si="10"/>
        <v/>
      </c>
      <c r="L27" t="str">
        <f t="shared" si="11"/>
        <v/>
      </c>
      <c r="M27" t="str">
        <f t="shared" si="12"/>
        <v/>
      </c>
      <c r="N27">
        <f t="shared" si="5"/>
        <v>1</v>
      </c>
      <c r="O27">
        <f t="shared" si="6"/>
        <v>1</v>
      </c>
      <c r="P27">
        <f t="shared" si="7"/>
        <v>1</v>
      </c>
    </row>
    <row r="28" spans="1:28">
      <c r="A28">
        <v>32</v>
      </c>
      <c r="B28" s="5">
        <v>0.99014000000000002</v>
      </c>
      <c r="C28" s="5">
        <f t="shared" si="8"/>
        <v>0.68968198845643669</v>
      </c>
      <c r="D28" s="5">
        <f t="shared" si="1"/>
        <v>0.11262762653311509</v>
      </c>
      <c r="E28" s="5">
        <f t="shared" si="2"/>
        <v>0.69043922377144884</v>
      </c>
      <c r="F28" s="5">
        <f t="shared" si="0"/>
        <v>7.987773935189868E-2</v>
      </c>
      <c r="G28">
        <v>32</v>
      </c>
      <c r="H28" t="str">
        <f t="shared" si="13"/>
        <v/>
      </c>
      <c r="I28" t="str">
        <f t="shared" si="14"/>
        <v/>
      </c>
      <c r="J28" t="str">
        <f t="shared" si="9"/>
        <v/>
      </c>
      <c r="K28" t="str">
        <f t="shared" si="10"/>
        <v/>
      </c>
      <c r="L28" t="str">
        <f t="shared" si="11"/>
        <v/>
      </c>
      <c r="M28" t="str">
        <f t="shared" si="12"/>
        <v/>
      </c>
      <c r="N28">
        <f t="shared" si="5"/>
        <v>1</v>
      </c>
      <c r="O28">
        <f t="shared" si="6"/>
        <v>1</v>
      </c>
      <c r="P28">
        <f t="shared" si="7"/>
        <v>1</v>
      </c>
    </row>
    <row r="29" spans="1:28">
      <c r="A29">
        <v>33</v>
      </c>
      <c r="B29" s="5">
        <v>1.1440699999999999</v>
      </c>
      <c r="C29" s="5">
        <f t="shared" si="8"/>
        <v>0.72722453063414172</v>
      </c>
      <c r="D29" s="5">
        <f t="shared" si="1"/>
        <v>0.10656860715707539</v>
      </c>
      <c r="E29" s="5">
        <f t="shared" si="2"/>
        <v>0.7170651368887484</v>
      </c>
      <c r="F29" s="5">
        <f t="shared" si="0"/>
        <v>7.8178813576020523E-2</v>
      </c>
      <c r="G29">
        <v>33</v>
      </c>
      <c r="H29" t="str">
        <f t="shared" si="13"/>
        <v/>
      </c>
      <c r="I29" t="str">
        <f t="shared" si="14"/>
        <v/>
      </c>
      <c r="J29" t="str">
        <f t="shared" si="9"/>
        <v/>
      </c>
      <c r="K29" t="str">
        <f t="shared" si="10"/>
        <v/>
      </c>
      <c r="L29">
        <f t="shared" si="11"/>
        <v>33.641149489707281</v>
      </c>
      <c r="M29" t="str">
        <f t="shared" si="12"/>
        <v/>
      </c>
      <c r="N29">
        <f t="shared" si="5"/>
        <v>1</v>
      </c>
      <c r="O29">
        <f t="shared" si="6"/>
        <v>1</v>
      </c>
      <c r="P29">
        <f t="shared" si="7"/>
        <v>1</v>
      </c>
    </row>
    <row r="30" spans="1:28">
      <c r="A30">
        <v>34</v>
      </c>
      <c r="B30" s="5">
        <v>1.30627</v>
      </c>
      <c r="C30" s="5">
        <f t="shared" si="8"/>
        <v>0.76274739968650018</v>
      </c>
      <c r="D30" s="5">
        <f t="shared" si="1"/>
        <v>0.10029956096751858</v>
      </c>
      <c r="E30" s="5">
        <f t="shared" si="2"/>
        <v>0.74312474141408857</v>
      </c>
      <c r="F30" s="5">
        <f t="shared" si="0"/>
        <v>7.6549813661659472E-2</v>
      </c>
      <c r="G30">
        <v>34</v>
      </c>
      <c r="H30" t="str">
        <f t="shared" si="13"/>
        <v/>
      </c>
      <c r="I30" t="str">
        <f t="shared" si="14"/>
        <v/>
      </c>
      <c r="J30" t="str">
        <f t="shared" si="9"/>
        <v/>
      </c>
      <c r="K30" t="str">
        <f t="shared" si="10"/>
        <v/>
      </c>
      <c r="L30" t="str">
        <f t="shared" si="11"/>
        <v/>
      </c>
      <c r="M30">
        <f t="shared" si="12"/>
        <v>34.269442533836823</v>
      </c>
      <c r="N30">
        <f t="shared" si="5"/>
        <v>1</v>
      </c>
      <c r="O30">
        <f t="shared" si="6"/>
        <v>1</v>
      </c>
      <c r="P30">
        <f t="shared" si="7"/>
        <v>1</v>
      </c>
    </row>
    <row r="31" spans="1:28">
      <c r="A31">
        <v>35</v>
      </c>
      <c r="B31" s="5">
        <v>1.47872</v>
      </c>
      <c r="C31" s="5">
        <f t="shared" si="8"/>
        <v>0.79618058667567304</v>
      </c>
      <c r="D31" s="5">
        <f t="shared" si="1"/>
        <v>9.3996621826954341E-2</v>
      </c>
      <c r="E31" s="5">
        <f t="shared" si="2"/>
        <v>0.76864134596797506</v>
      </c>
      <c r="F31" s="5">
        <f t="shared" si="0"/>
        <v>7.5098748957915462E-2</v>
      </c>
      <c r="G31">
        <v>35</v>
      </c>
      <c r="H31" t="str">
        <f t="shared" si="13"/>
        <v/>
      </c>
      <c r="I31" t="str">
        <f t="shared" si="14"/>
        <v/>
      </c>
      <c r="J31" t="str">
        <f t="shared" si="9"/>
        <v/>
      </c>
      <c r="K31" t="str">
        <f t="shared" si="10"/>
        <v/>
      </c>
      <c r="L31" t="str">
        <f t="shared" si="11"/>
        <v/>
      </c>
      <c r="M31" t="str">
        <f t="shared" si="12"/>
        <v/>
      </c>
      <c r="N31">
        <f t="shared" si="5"/>
        <v>1</v>
      </c>
      <c r="O31">
        <f t="shared" si="6"/>
        <v>1</v>
      </c>
      <c r="P31">
        <f t="shared" si="7"/>
        <v>1</v>
      </c>
    </row>
    <row r="32" spans="1:28">
      <c r="A32">
        <v>36</v>
      </c>
      <c r="B32" s="5">
        <v>1.6642600000000001</v>
      </c>
      <c r="C32" s="5">
        <f t="shared" si="8"/>
        <v>0.82751279395132449</v>
      </c>
      <c r="D32" s="5">
        <f t="shared" si="1"/>
        <v>8.7359735990932164E-2</v>
      </c>
      <c r="E32" s="5">
        <f t="shared" si="2"/>
        <v>0.79367426228728022</v>
      </c>
      <c r="F32" s="5">
        <f t="shared" si="0"/>
        <v>7.3566481145613483E-2</v>
      </c>
      <c r="G32">
        <v>36</v>
      </c>
      <c r="H32" t="str">
        <f t="shared" si="13"/>
        <v/>
      </c>
      <c r="I32" t="str">
        <f t="shared" si="14"/>
        <v/>
      </c>
      <c r="J32" t="str">
        <f t="shared" si="9"/>
        <v/>
      </c>
      <c r="K32" t="str">
        <f t="shared" si="10"/>
        <v/>
      </c>
      <c r="L32" t="str">
        <f t="shared" si="11"/>
        <v/>
      </c>
      <c r="M32" t="str">
        <f t="shared" si="12"/>
        <v/>
      </c>
      <c r="N32">
        <f t="shared" si="5"/>
        <v>1</v>
      </c>
      <c r="O32">
        <f t="shared" si="6"/>
        <v>1</v>
      </c>
      <c r="P32">
        <f t="shared" si="7"/>
        <v>1</v>
      </c>
    </row>
    <row r="33" spans="1:16">
      <c r="A33">
        <v>37</v>
      </c>
      <c r="B33" s="5">
        <v>1.8659699999999999</v>
      </c>
      <c r="C33" s="5">
        <f t="shared" si="8"/>
        <v>0.85663270594830188</v>
      </c>
      <c r="D33" s="5">
        <f t="shared" si="1"/>
        <v>8.0722942608245307E-2</v>
      </c>
      <c r="E33" s="5">
        <f t="shared" si="2"/>
        <v>0.81819642266915138</v>
      </c>
      <c r="F33" s="5">
        <f t="shared" si="0"/>
        <v>7.2215239414129329E-2</v>
      </c>
      <c r="G33">
        <v>37</v>
      </c>
      <c r="H33" t="str">
        <f t="shared" si="13"/>
        <v/>
      </c>
      <c r="I33" t="str">
        <f t="shared" si="14"/>
        <v/>
      </c>
      <c r="J33" t="str">
        <f t="shared" si="9"/>
        <v/>
      </c>
      <c r="K33" t="str">
        <f t="shared" si="10"/>
        <v/>
      </c>
      <c r="L33" t="str">
        <f t="shared" si="11"/>
        <v/>
      </c>
      <c r="M33" t="str">
        <f t="shared" si="12"/>
        <v/>
      </c>
      <c r="N33">
        <f t="shared" si="5"/>
        <v>1</v>
      </c>
      <c r="O33">
        <f t="shared" si="6"/>
        <v>1</v>
      </c>
      <c r="P33">
        <f t="shared" si="7"/>
        <v>1</v>
      </c>
    </row>
    <row r="34" spans="1:16">
      <c r="A34">
        <v>38</v>
      </c>
      <c r="B34" s="5">
        <v>2.08894</v>
      </c>
      <c r="C34" s="5">
        <f t="shared" si="8"/>
        <v>0.88354035348438364</v>
      </c>
      <c r="D34" s="5">
        <f t="shared" si="1"/>
        <v>7.3857195064786496E-2</v>
      </c>
      <c r="E34" s="5">
        <f t="shared" si="2"/>
        <v>0.84226816914052782</v>
      </c>
      <c r="F34" s="5">
        <f t="shared" si="0"/>
        <v>7.0859492585805262E-2</v>
      </c>
      <c r="G34">
        <v>38</v>
      </c>
      <c r="H34" t="str">
        <f t="shared" si="13"/>
        <v/>
      </c>
      <c r="I34" t="str">
        <f t="shared" si="14"/>
        <v/>
      </c>
      <c r="J34" t="str">
        <f t="shared" si="9"/>
        <v/>
      </c>
      <c r="K34" t="str">
        <f t="shared" si="10"/>
        <v/>
      </c>
      <c r="L34" t="str">
        <f t="shared" si="11"/>
        <v/>
      </c>
      <c r="M34" t="str">
        <f t="shared" si="12"/>
        <v/>
      </c>
      <c r="N34">
        <f t="shared" si="5"/>
        <v>1</v>
      </c>
      <c r="O34">
        <f t="shared" si="6"/>
        <v>1</v>
      </c>
      <c r="P34">
        <f t="shared" si="7"/>
        <v>1</v>
      </c>
    </row>
    <row r="35" spans="1:16">
      <c r="A35">
        <v>39</v>
      </c>
      <c r="B35" s="5">
        <v>2.3399200000000002</v>
      </c>
      <c r="C35" s="5">
        <f t="shared" si="8"/>
        <v>0.90815941850597914</v>
      </c>
      <c r="D35" s="5">
        <f t="shared" si="1"/>
        <v>6.6093157832901483E-2</v>
      </c>
      <c r="E35" s="5">
        <f t="shared" si="2"/>
        <v>0.86588800000246291</v>
      </c>
      <c r="F35" s="5">
        <f t="shared" si="0"/>
        <v>6.8783671187368056E-2</v>
      </c>
      <c r="G35">
        <v>39</v>
      </c>
      <c r="H35" t="str">
        <f t="shared" si="13"/>
        <v/>
      </c>
      <c r="I35" t="str">
        <f t="shared" si="14"/>
        <v/>
      </c>
      <c r="J35" t="str">
        <f t="shared" si="9"/>
        <v/>
      </c>
      <c r="K35" t="str">
        <f t="shared" si="10"/>
        <v/>
      </c>
      <c r="L35" t="str">
        <f t="shared" si="11"/>
        <v/>
      </c>
      <c r="M35" t="str">
        <f t="shared" si="12"/>
        <v/>
      </c>
      <c r="N35">
        <f t="shared" si="5"/>
        <v>1</v>
      </c>
      <c r="O35">
        <f t="shared" si="6"/>
        <v>1</v>
      </c>
      <c r="P35">
        <f t="shared" si="7"/>
        <v>1</v>
      </c>
    </row>
    <row r="36" spans="1:16">
      <c r="A36">
        <v>40</v>
      </c>
      <c r="B36" s="5">
        <v>2.62602</v>
      </c>
      <c r="C36" s="5">
        <f t="shared" si="8"/>
        <v>0.9301904711169463</v>
      </c>
      <c r="D36" s="5">
        <f t="shared" si="1"/>
        <v>5.7191171722197565E-2</v>
      </c>
      <c r="E36" s="5">
        <f t="shared" si="2"/>
        <v>0.88881589039825226</v>
      </c>
      <c r="F36" s="5">
        <f t="shared" si="0"/>
        <v>6.543565952534669E-2</v>
      </c>
      <c r="G36">
        <v>40</v>
      </c>
      <c r="H36" t="str">
        <f t="shared" si="13"/>
        <v/>
      </c>
      <c r="I36" t="str">
        <f t="shared" si="14"/>
        <v/>
      </c>
      <c r="J36" t="str">
        <f t="shared" si="9"/>
        <v/>
      </c>
      <c r="K36" t="str">
        <f t="shared" si="10"/>
        <v/>
      </c>
      <c r="L36" t="str">
        <f t="shared" si="11"/>
        <v/>
      </c>
      <c r="M36" t="str">
        <f t="shared" si="12"/>
        <v/>
      </c>
      <c r="N36">
        <f t="shared" si="5"/>
        <v>1</v>
      </c>
      <c r="O36">
        <f t="shared" si="6"/>
        <v>1</v>
      </c>
      <c r="P36">
        <f t="shared" si="7"/>
        <v>1</v>
      </c>
    </row>
    <row r="37" spans="1:16">
      <c r="A37">
        <v>41</v>
      </c>
      <c r="B37" s="5">
        <v>2.9550000000000001</v>
      </c>
      <c r="C37" s="5">
        <f t="shared" si="8"/>
        <v>0.94925419502434549</v>
      </c>
      <c r="D37" s="5">
        <f t="shared" si="1"/>
        <v>4.6625437405151127E-2</v>
      </c>
      <c r="E37" s="5">
        <f t="shared" si="2"/>
        <v>0.91062777690670116</v>
      </c>
      <c r="F37" s="5">
        <f t="shared" si="0"/>
        <v>5.9512662513415582E-2</v>
      </c>
      <c r="G37">
        <v>41</v>
      </c>
      <c r="H37" t="str">
        <f t="shared" si="13"/>
        <v/>
      </c>
      <c r="I37" t="str">
        <f t="shared" si="14"/>
        <v/>
      </c>
      <c r="J37" t="str">
        <f t="shared" si="9"/>
        <v/>
      </c>
      <c r="K37" t="str">
        <f t="shared" si="10"/>
        <v/>
      </c>
      <c r="L37" t="str">
        <f t="shared" si="11"/>
        <v/>
      </c>
      <c r="M37" t="str">
        <f t="shared" si="12"/>
        <v/>
      </c>
      <c r="N37">
        <f t="shared" si="5"/>
        <v>1</v>
      </c>
      <c r="O37">
        <f t="shared" si="6"/>
        <v>1</v>
      </c>
      <c r="P37">
        <f t="shared" si="7"/>
        <v>1</v>
      </c>
    </row>
    <row r="38" spans="1:16">
      <c r="A38">
        <v>42</v>
      </c>
      <c r="B38" s="5">
        <v>3.3287300000000002</v>
      </c>
      <c r="C38" s="5">
        <f t="shared" si="8"/>
        <v>0.9647960074927292</v>
      </c>
      <c r="D38" s="5">
        <f t="shared" si="1"/>
        <v>3.6556760545894074E-2</v>
      </c>
      <c r="E38" s="5">
        <f t="shared" si="2"/>
        <v>0.93046533107783969</v>
      </c>
      <c r="F38" s="5">
        <f t="shared" si="0"/>
        <v>5.2901098223373744E-2</v>
      </c>
      <c r="G38">
        <v>42</v>
      </c>
      <c r="H38" t="str">
        <f t="shared" si="13"/>
        <v/>
      </c>
      <c r="I38" t="str">
        <f t="shared" si="14"/>
        <v/>
      </c>
      <c r="J38" t="str">
        <f t="shared" si="9"/>
        <v/>
      </c>
      <c r="K38" t="str">
        <f t="shared" si="10"/>
        <v/>
      </c>
      <c r="L38" t="str">
        <f t="shared" si="11"/>
        <v/>
      </c>
      <c r="M38" t="str">
        <f t="shared" si="12"/>
        <v/>
      </c>
      <c r="N38">
        <f t="shared" si="5"/>
        <v>1</v>
      </c>
      <c r="O38">
        <f t="shared" si="6"/>
        <v>1</v>
      </c>
      <c r="P38">
        <f t="shared" si="7"/>
        <v>1</v>
      </c>
    </row>
    <row r="39" spans="1:16">
      <c r="A39">
        <v>43</v>
      </c>
      <c r="B39" s="5">
        <v>3.7598400000000001</v>
      </c>
      <c r="C39" s="5">
        <f t="shared" si="8"/>
        <v>0.97698159434136056</v>
      </c>
      <c r="D39" s="5">
        <f t="shared" si="1"/>
        <v>2.6776266185235875E-2</v>
      </c>
      <c r="E39" s="5">
        <f t="shared" si="2"/>
        <v>0.94809903048563093</v>
      </c>
      <c r="F39" s="5">
        <f t="shared" si="0"/>
        <v>4.4751622822710613E-2</v>
      </c>
      <c r="G39">
        <v>43</v>
      </c>
      <c r="H39" t="str">
        <f t="shared" si="13"/>
        <v/>
      </c>
      <c r="I39" t="str">
        <f t="shared" si="14"/>
        <v/>
      </c>
      <c r="J39" t="str">
        <f t="shared" si="9"/>
        <v/>
      </c>
      <c r="K39" t="str">
        <f t="shared" si="10"/>
        <v/>
      </c>
      <c r="L39" t="str">
        <f t="shared" si="11"/>
        <v/>
      </c>
      <c r="M39" t="str">
        <f t="shared" si="12"/>
        <v/>
      </c>
      <c r="N39">
        <f t="shared" si="5"/>
        <v>0</v>
      </c>
      <c r="O39">
        <f t="shared" si="6"/>
        <v>1</v>
      </c>
      <c r="P39">
        <f t="shared" si="7"/>
        <v>1</v>
      </c>
    </row>
    <row r="40" spans="1:16">
      <c r="A40">
        <v>44</v>
      </c>
      <c r="B40" s="5">
        <v>4.2549900000000003</v>
      </c>
      <c r="C40" s="5">
        <f t="shared" si="8"/>
        <v>0.98590701640310585</v>
      </c>
      <c r="D40" s="5">
        <f t="shared" si="1"/>
        <v>1.7927408565766023E-2</v>
      </c>
      <c r="E40" s="5">
        <f t="shared" si="2"/>
        <v>0.96301623809320114</v>
      </c>
      <c r="F40" s="5">
        <f t="shared" si="0"/>
        <v>3.5247694835707333E-2</v>
      </c>
      <c r="G40">
        <v>44</v>
      </c>
      <c r="H40" t="str">
        <f t="shared" si="13"/>
        <v/>
      </c>
      <c r="I40" t="str">
        <f t="shared" si="14"/>
        <v/>
      </c>
      <c r="J40" t="str">
        <f t="shared" si="9"/>
        <v/>
      </c>
      <c r="K40" t="str">
        <f t="shared" si="10"/>
        <v/>
      </c>
      <c r="L40" t="str">
        <f t="shared" si="11"/>
        <v/>
      </c>
      <c r="M40" t="str">
        <f t="shared" si="12"/>
        <v/>
      </c>
      <c r="N40">
        <f t="shared" si="5"/>
        <v>0</v>
      </c>
      <c r="O40">
        <f t="shared" si="6"/>
        <v>1</v>
      </c>
      <c r="P40">
        <f t="shared" si="7"/>
        <v>1</v>
      </c>
    </row>
    <row r="41" spans="1:16">
      <c r="A41">
        <v>45</v>
      </c>
      <c r="B41" s="5">
        <v>4.8097000000000003</v>
      </c>
      <c r="C41" s="5">
        <f t="shared" si="8"/>
        <v>0.99188281925836119</v>
      </c>
      <c r="D41" s="5">
        <f t="shared" si="1"/>
        <v>1.1008040313650325E-2</v>
      </c>
      <c r="E41" s="5">
        <f t="shared" si="2"/>
        <v>0.97476546970510358</v>
      </c>
      <c r="F41" s="5">
        <f t="shared" si="0"/>
        <v>2.5863198161466872E-2</v>
      </c>
      <c r="G41">
        <v>45</v>
      </c>
      <c r="H41" t="str">
        <f t="shared" si="13"/>
        <v/>
      </c>
      <c r="I41" t="str">
        <f t="shared" si="14"/>
        <v/>
      </c>
      <c r="J41" t="str">
        <f t="shared" si="9"/>
        <v/>
      </c>
      <c r="K41" t="str">
        <f t="shared" si="10"/>
        <v/>
      </c>
      <c r="L41" t="str">
        <f t="shared" si="11"/>
        <v/>
      </c>
      <c r="M41" t="str">
        <f t="shared" si="12"/>
        <v/>
      </c>
      <c r="N41">
        <f t="shared" si="5"/>
        <v>0</v>
      </c>
      <c r="O41">
        <f t="shared" si="6"/>
        <v>0</v>
      </c>
      <c r="P41">
        <f t="shared" si="7"/>
        <v>0</v>
      </c>
    </row>
    <row r="42" spans="1:16">
      <c r="A42">
        <v>46</v>
      </c>
      <c r="B42" s="5">
        <v>5.4131099999999996</v>
      </c>
      <c r="C42" s="5">
        <f t="shared" si="8"/>
        <v>0.99555216602957797</v>
      </c>
      <c r="D42" s="5">
        <f t="shared" si="1"/>
        <v>6.8119929756641495E-3</v>
      </c>
      <c r="E42" s="5">
        <f t="shared" si="2"/>
        <v>0.98338653575892587</v>
      </c>
      <c r="F42" s="5">
        <f t="shared" si="0"/>
        <v>1.9537363656043971E-2</v>
      </c>
      <c r="G42">
        <v>46</v>
      </c>
      <c r="H42" t="str">
        <f t="shared" si="13"/>
        <v/>
      </c>
      <c r="I42" t="str">
        <f t="shared" si="14"/>
        <v/>
      </c>
      <c r="J42" t="str">
        <f t="shared" si="9"/>
        <v/>
      </c>
      <c r="K42" t="str">
        <f t="shared" si="10"/>
        <v/>
      </c>
      <c r="L42" t="str">
        <f t="shared" si="11"/>
        <v/>
      </c>
      <c r="M42" t="str">
        <f t="shared" si="12"/>
        <v/>
      </c>
      <c r="N42">
        <f t="shared" si="5"/>
        <v>0</v>
      </c>
      <c r="O42">
        <f t="shared" si="6"/>
        <v>0</v>
      </c>
      <c r="P42">
        <f t="shared" si="7"/>
        <v>0</v>
      </c>
    </row>
    <row r="43" spans="1:16">
      <c r="A43">
        <v>47</v>
      </c>
      <c r="B43" s="5">
        <v>6.1286399999999999</v>
      </c>
      <c r="C43" s="5">
        <f t="shared" si="8"/>
        <v>0.99782283035479935</v>
      </c>
      <c r="D43" s="5">
        <f t="shared" si="1"/>
        <v>3.9824542606874402E-3</v>
      </c>
      <c r="E43" s="5">
        <f t="shared" si="2"/>
        <v>0.98989899031094053</v>
      </c>
      <c r="F43" s="5">
        <f t="shared" si="0"/>
        <v>1.4588452315830502E-2</v>
      </c>
      <c r="G43">
        <v>47</v>
      </c>
      <c r="H43" t="str">
        <f t="shared" si="13"/>
        <v/>
      </c>
      <c r="I43" t="str">
        <f t="shared" si="14"/>
        <v/>
      </c>
      <c r="J43" t="str">
        <f t="shared" si="9"/>
        <v/>
      </c>
      <c r="K43" t="str">
        <f t="shared" si="10"/>
        <v/>
      </c>
      <c r="L43" t="str">
        <f t="shared" si="11"/>
        <v/>
      </c>
      <c r="M43" t="str">
        <f t="shared" si="12"/>
        <v/>
      </c>
      <c r="N43">
        <f t="shared" si="5"/>
        <v>0</v>
      </c>
      <c r="O43">
        <f t="shared" si="6"/>
        <v>0</v>
      </c>
      <c r="P43">
        <f t="shared" si="7"/>
        <v>0</v>
      </c>
    </row>
    <row r="44" spans="1:16">
      <c r="A44">
        <v>48</v>
      </c>
      <c r="B44" s="5">
        <v>7.0702199999999999</v>
      </c>
      <c r="C44" s="5">
        <f t="shared" si="8"/>
        <v>0.99915031510836183</v>
      </c>
      <c r="D44" s="5">
        <f t="shared" si="1"/>
        <v>2.0228737362728566E-3</v>
      </c>
      <c r="E44" s="5">
        <f t="shared" si="2"/>
        <v>0.9947618077495507</v>
      </c>
      <c r="F44" s="5">
        <f t="shared" si="0"/>
        <v>1.0499130287495162E-2</v>
      </c>
      <c r="G44">
        <v>48</v>
      </c>
      <c r="H44" t="str">
        <f t="shared" si="13"/>
        <v/>
      </c>
      <c r="I44" t="str">
        <f t="shared" si="14"/>
        <v/>
      </c>
      <c r="J44" t="str">
        <f t="shared" si="9"/>
        <v/>
      </c>
      <c r="K44" t="str">
        <f t="shared" si="10"/>
        <v/>
      </c>
      <c r="L44" t="str">
        <f t="shared" si="11"/>
        <v/>
      </c>
      <c r="M44" t="str">
        <f t="shared" si="12"/>
        <v/>
      </c>
      <c r="N44">
        <f t="shared" si="5"/>
        <v>0</v>
      </c>
      <c r="O44">
        <f t="shared" si="6"/>
        <v>0</v>
      </c>
      <c r="P44">
        <f t="shared" si="7"/>
        <v>0</v>
      </c>
    </row>
    <row r="45" spans="1:16">
      <c r="A45">
        <v>49</v>
      </c>
      <c r="B45" s="5">
        <v>8.6483899999999991</v>
      </c>
      <c r="C45" s="5">
        <f t="shared" si="8"/>
        <v>0.99982460635378612</v>
      </c>
      <c r="D45" s="5">
        <f t="shared" si="1"/>
        <v>5.2526323182044976E-4</v>
      </c>
      <c r="E45" s="5">
        <f t="shared" si="2"/>
        <v>0.99826151784538242</v>
      </c>
      <c r="F45" s="5">
        <f t="shared" si="0"/>
        <v>5.1542485778246494E-3</v>
      </c>
      <c r="G45">
        <v>49</v>
      </c>
      <c r="H45" t="str">
        <f t="shared" si="13"/>
        <v/>
      </c>
      <c r="I45" t="str">
        <f t="shared" si="14"/>
        <v/>
      </c>
      <c r="J45" t="str">
        <f t="shared" si="9"/>
        <v/>
      </c>
      <c r="K45" t="str">
        <f t="shared" si="10"/>
        <v/>
      </c>
      <c r="L45" t="str">
        <f t="shared" si="11"/>
        <v/>
      </c>
      <c r="M45" t="str">
        <f t="shared" si="12"/>
        <v/>
      </c>
      <c r="N45">
        <f t="shared" si="5"/>
        <v>0</v>
      </c>
      <c r="O45">
        <f t="shared" si="6"/>
        <v>0</v>
      </c>
      <c r="P45">
        <f t="shared" si="7"/>
        <v>0</v>
      </c>
    </row>
    <row r="46" spans="1:16">
      <c r="A46">
        <v>50</v>
      </c>
      <c r="B46" s="5">
        <v>15</v>
      </c>
      <c r="C46" s="5">
        <f t="shared" si="8"/>
        <v>0.99999969409772627</v>
      </c>
      <c r="D46" s="5">
        <f t="shared" si="1"/>
        <v>9.1770682120184688E-7</v>
      </c>
      <c r="E46" s="5">
        <f t="shared" si="2"/>
        <v>0.9999796007046573</v>
      </c>
      <c r="F46" s="5">
        <f t="shared" si="0"/>
        <v>6.1197886028097059E-5</v>
      </c>
      <c r="G46">
        <v>50</v>
      </c>
      <c r="H46" t="str">
        <f t="shared" si="13"/>
        <v/>
      </c>
      <c r="I46" t="str">
        <f t="shared" si="14"/>
        <v/>
      </c>
      <c r="J46" t="str">
        <f t="shared" si="9"/>
        <v/>
      </c>
      <c r="K46" t="str">
        <f t="shared" si="10"/>
        <v/>
      </c>
      <c r="L46" t="str">
        <f t="shared" si="11"/>
        <v/>
      </c>
      <c r="M46" t="str">
        <f t="shared" si="12"/>
        <v/>
      </c>
      <c r="N46">
        <f t="shared" si="5"/>
        <v>0</v>
      </c>
      <c r="O46">
        <f t="shared" si="6"/>
        <v>0</v>
      </c>
      <c r="P46">
        <f t="shared" si="7"/>
        <v>0</v>
      </c>
    </row>
    <row r="47" spans="1:16">
      <c r="A47">
        <v>51</v>
      </c>
      <c r="B47" s="5">
        <v>99999</v>
      </c>
      <c r="C47" s="5">
        <f t="shared" si="8"/>
        <v>1</v>
      </c>
      <c r="D47" s="5">
        <f t="shared" si="1"/>
        <v>0</v>
      </c>
      <c r="E47" s="5">
        <f t="shared" si="2"/>
        <v>1</v>
      </c>
      <c r="F47" s="5">
        <f t="shared" si="0"/>
        <v>0</v>
      </c>
      <c r="G47">
        <v>51</v>
      </c>
      <c r="H47" t="str">
        <f t="shared" si="13"/>
        <v/>
      </c>
      <c r="I47" t="str">
        <f t="shared" si="14"/>
        <v/>
      </c>
      <c r="J47" t="str">
        <f t="shared" si="9"/>
        <v/>
      </c>
      <c r="K47" t="str">
        <f t="shared" si="10"/>
        <v/>
      </c>
      <c r="L47" t="str">
        <f t="shared" si="11"/>
        <v/>
      </c>
      <c r="M47" t="str">
        <f t="shared" si="12"/>
        <v/>
      </c>
      <c r="N47">
        <f t="shared" si="5"/>
        <v>0</v>
      </c>
      <c r="O47">
        <f t="shared" si="6"/>
        <v>0</v>
      </c>
      <c r="P47">
        <f t="shared" si="7"/>
        <v>0</v>
      </c>
    </row>
    <row r="48" spans="1:16">
      <c r="A48">
        <v>52</v>
      </c>
      <c r="B48" s="5">
        <v>99999</v>
      </c>
      <c r="C48" s="5">
        <f t="shared" si="8"/>
        <v>1</v>
      </c>
      <c r="D48" s="5">
        <f t="shared" si="1"/>
        <v>0</v>
      </c>
      <c r="E48" s="5">
        <f t="shared" si="2"/>
        <v>1</v>
      </c>
      <c r="F48" s="5">
        <f t="shared" si="0"/>
        <v>0</v>
      </c>
      <c r="G48">
        <v>52</v>
      </c>
      <c r="H48" t="str">
        <f t="shared" si="13"/>
        <v/>
      </c>
      <c r="I48" t="str">
        <f t="shared" si="14"/>
        <v/>
      </c>
      <c r="J48" t="str">
        <f t="shared" si="9"/>
        <v/>
      </c>
      <c r="K48" t="str">
        <f t="shared" si="10"/>
        <v/>
      </c>
      <c r="L48" t="str">
        <f t="shared" si="11"/>
        <v/>
      </c>
      <c r="M48" t="str">
        <f t="shared" si="12"/>
        <v/>
      </c>
      <c r="N48">
        <f t="shared" si="5"/>
        <v>0</v>
      </c>
      <c r="O48">
        <f t="shared" si="6"/>
        <v>0</v>
      </c>
      <c r="P48">
        <f t="shared" si="7"/>
        <v>0</v>
      </c>
    </row>
    <row r="49" spans="1:24">
      <c r="A49">
        <v>53</v>
      </c>
      <c r="B49" s="5">
        <v>99999</v>
      </c>
      <c r="C49" s="5">
        <f t="shared" si="8"/>
        <v>1</v>
      </c>
      <c r="D49" s="5">
        <f t="shared" si="1"/>
        <v>0</v>
      </c>
      <c r="E49" s="5">
        <f t="shared" si="2"/>
        <v>1</v>
      </c>
      <c r="F49" s="5">
        <f t="shared" si="0"/>
        <v>0</v>
      </c>
      <c r="G49">
        <v>53</v>
      </c>
      <c r="H49" t="str">
        <f t="shared" si="13"/>
        <v/>
      </c>
      <c r="I49" t="str">
        <f t="shared" si="14"/>
        <v/>
      </c>
      <c r="J49" t="str">
        <f t="shared" si="9"/>
        <v/>
      </c>
      <c r="K49" t="str">
        <f t="shared" si="10"/>
        <v/>
      </c>
      <c r="L49" t="str">
        <f t="shared" si="11"/>
        <v/>
      </c>
      <c r="M49" t="str">
        <f t="shared" si="12"/>
        <v/>
      </c>
      <c r="N49">
        <f t="shared" si="5"/>
        <v>0</v>
      </c>
      <c r="O49">
        <f t="shared" si="6"/>
        <v>0</v>
      </c>
      <c r="P49">
        <f t="shared" si="7"/>
        <v>0</v>
      </c>
    </row>
    <row r="50" spans="1:24">
      <c r="A50">
        <v>54</v>
      </c>
      <c r="B50" s="5">
        <v>99999</v>
      </c>
      <c r="C50" s="5">
        <f t="shared" si="8"/>
        <v>1</v>
      </c>
      <c r="D50" s="5"/>
      <c r="E50" s="5">
        <f t="shared" si="2"/>
        <v>1</v>
      </c>
      <c r="F50" s="5"/>
      <c r="G50">
        <v>54</v>
      </c>
      <c r="H50" t="str">
        <f t="shared" si="13"/>
        <v/>
      </c>
      <c r="I50" t="str">
        <f t="shared" si="14"/>
        <v/>
      </c>
      <c r="J50" t="str">
        <f t="shared" si="9"/>
        <v/>
      </c>
      <c r="K50" t="str">
        <f t="shared" si="10"/>
        <v/>
      </c>
      <c r="L50" t="str">
        <f t="shared" si="11"/>
        <v/>
      </c>
      <c r="M50" t="str">
        <f t="shared" si="12"/>
        <v/>
      </c>
      <c r="N50">
        <f t="shared" si="5"/>
        <v>0</v>
      </c>
      <c r="O50">
        <f t="shared" si="6"/>
        <v>0</v>
      </c>
      <c r="P50">
        <f t="shared" si="7"/>
        <v>0</v>
      </c>
    </row>
    <row r="51" spans="1:24">
      <c r="A51">
        <v>55</v>
      </c>
      <c r="G51">
        <v>55</v>
      </c>
      <c r="H51" t="str">
        <f t="shared" si="13"/>
        <v/>
      </c>
      <c r="I51" t="str">
        <f t="shared" si="14"/>
        <v/>
      </c>
      <c r="J51" t="str">
        <f t="shared" si="9"/>
        <v/>
      </c>
      <c r="K51" t="str">
        <f t="shared" si="10"/>
        <v/>
      </c>
      <c r="L51" t="str">
        <f t="shared" si="11"/>
        <v/>
      </c>
      <c r="M51" t="str">
        <f t="shared" si="12"/>
        <v/>
      </c>
      <c r="N51">
        <f t="shared" si="5"/>
        <v>0</v>
      </c>
      <c r="O51">
        <f t="shared" si="6"/>
        <v>0</v>
      </c>
      <c r="P51">
        <f t="shared" si="7"/>
        <v>0</v>
      </c>
    </row>
    <row r="52" spans="1:24">
      <c r="I52" t="str">
        <f>IF(AND(E52&lt;0.5,Z19&gt;0.5),$A52+(0.5-E52)/(Z19-E52),"")</f>
        <v/>
      </c>
    </row>
    <row r="53" spans="1:24">
      <c r="V53" s="5"/>
      <c r="X53" s="5"/>
    </row>
  </sheetData>
  <mergeCells count="3">
    <mergeCell ref="V17:AB17"/>
    <mergeCell ref="J5:K5"/>
    <mergeCell ref="L5:M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Romaniuk</vt:lpstr>
      <vt:lpstr>Hadwiger</vt:lpstr>
      <vt:lpstr>Gompertz</vt:lpstr>
    </vt:vector>
  </TitlesOfParts>
  <Company>University of Cape Town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01404747</dc:creator>
  <cp:lastModifiedBy>Marcos Sanchez</cp:lastModifiedBy>
  <dcterms:created xsi:type="dcterms:W3CDTF">2012-11-23T10:26:25Z</dcterms:created>
  <dcterms:modified xsi:type="dcterms:W3CDTF">2013-04-12T10:39:57Z</dcterms:modified>
</cp:coreProperties>
</file>